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nyserda.org\public\Public\New Construction\Housing\Buildings of Excellence\BoE Cost-related\Website Updates\February 2024 Update\"/>
    </mc:Choice>
  </mc:AlternateContent>
  <xr:revisionPtr revIDLastSave="0" documentId="8_{74E1910C-A7C7-4728-ABBB-926588FEFA5E}" xr6:coauthVersionLast="47" xr6:coauthVersionMax="47" xr10:uidLastSave="{00000000-0000-0000-0000-000000000000}"/>
  <bookViews>
    <workbookView xWindow="-120" yWindow="-120" windowWidth="29040" windowHeight="14190" xr2:uid="{1A6B70C9-9CB5-467D-A865-03C8D187BE0F}"/>
  </bookViews>
  <sheets>
    <sheet name="Understanding the Data" sheetId="1" r:id="rId1"/>
    <sheet name="Project Cost Data" sheetId="2" r:id="rId2"/>
    <sheet name="Project Cost Chart" sheetId="3" r:id="rId3"/>
  </sheets>
  <externalReferences>
    <externalReference r:id="rId4"/>
  </externalReferences>
  <definedNames>
    <definedName name="_xlnm._FilterDatabase" localSheetId="1" hidden="1">'Project Cost Data'!$A$1:$CL$43</definedName>
    <definedName name="Slicer_Information_Stage">#N/A</definedName>
  </definedNames>
  <calcPr calcId="191029"/>
  <pivotCaches>
    <pivotCache cacheId="14"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D2" i="2"/>
  <c r="E2" i="2"/>
  <c r="F2" i="2"/>
  <c r="G2" i="2"/>
  <c r="H2" i="2"/>
  <c r="I2" i="2"/>
  <c r="J2" i="2"/>
  <c r="K2" i="2"/>
  <c r="L2" i="2"/>
  <c r="M2" i="2"/>
  <c r="N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BH2" i="2"/>
  <c r="BI2" i="2"/>
  <c r="BJ2" i="2"/>
  <c r="BK2" i="2"/>
  <c r="BL2" i="2"/>
  <c r="BM2" i="2"/>
  <c r="BN2" i="2"/>
  <c r="BO2" i="2"/>
  <c r="BP2" i="2"/>
  <c r="BQ2" i="2"/>
  <c r="BR2" i="2"/>
  <c r="BS2" i="2"/>
  <c r="BT2" i="2"/>
  <c r="BU2" i="2"/>
  <c r="BV2" i="2"/>
  <c r="BW2" i="2"/>
  <c r="BX2" i="2"/>
  <c r="BY2" i="2"/>
  <c r="BZ2" i="2"/>
  <c r="CA2" i="2"/>
  <c r="CB2" i="2"/>
  <c r="CC2" i="2"/>
  <c r="CD2" i="2"/>
  <c r="CE2" i="2"/>
  <c r="CF2" i="2"/>
  <c r="CG2" i="2"/>
  <c r="CH2" i="2"/>
  <c r="CI2" i="2"/>
  <c r="CJ2" i="2"/>
  <c r="CK2" i="2"/>
  <c r="CL2" i="2"/>
  <c r="C3" i="2"/>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BB3" i="2"/>
  <c r="BC3" i="2"/>
  <c r="BD3" i="2"/>
  <c r="BE3" i="2"/>
  <c r="BF3" i="2"/>
  <c r="BG3" i="2"/>
  <c r="BH3" i="2"/>
  <c r="BI3" i="2"/>
  <c r="BJ3" i="2"/>
  <c r="BK3" i="2"/>
  <c r="BL3" i="2"/>
  <c r="BM3" i="2"/>
  <c r="BN3" i="2"/>
  <c r="BO3" i="2"/>
  <c r="BP3" i="2"/>
  <c r="BQ3" i="2"/>
  <c r="BR3" i="2"/>
  <c r="BS3" i="2"/>
  <c r="BT3" i="2"/>
  <c r="BU3" i="2"/>
  <c r="BV3" i="2"/>
  <c r="BW3" i="2"/>
  <c r="BX3" i="2"/>
  <c r="BY3" i="2"/>
  <c r="BZ3" i="2"/>
  <c r="CA3" i="2"/>
  <c r="CB3" i="2"/>
  <c r="CC3" i="2"/>
  <c r="CD3" i="2"/>
  <c r="CE3" i="2"/>
  <c r="CF3" i="2"/>
  <c r="CG3" i="2"/>
  <c r="CH3" i="2"/>
  <c r="CI3" i="2"/>
  <c r="CJ3" i="2"/>
  <c r="CK3" i="2"/>
  <c r="CL3" i="2"/>
  <c r="C4"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AO4" i="2"/>
  <c r="AP4" i="2"/>
  <c r="AQ4" i="2"/>
  <c r="AR4" i="2"/>
  <c r="AS4" i="2"/>
  <c r="AT4" i="2"/>
  <c r="AU4" i="2"/>
  <c r="AV4" i="2"/>
  <c r="AW4" i="2"/>
  <c r="AX4" i="2"/>
  <c r="AY4" i="2"/>
  <c r="AZ4" i="2"/>
  <c r="BA4" i="2"/>
  <c r="BB4" i="2"/>
  <c r="BC4" i="2"/>
  <c r="BD4" i="2"/>
  <c r="BE4" i="2"/>
  <c r="BF4" i="2"/>
  <c r="BG4" i="2"/>
  <c r="BH4" i="2"/>
  <c r="BI4" i="2"/>
  <c r="BJ4" i="2"/>
  <c r="BK4" i="2"/>
  <c r="BL4" i="2"/>
  <c r="BM4" i="2"/>
  <c r="BN4" i="2"/>
  <c r="BO4" i="2"/>
  <c r="BP4" i="2"/>
  <c r="BQ4" i="2"/>
  <c r="BR4" i="2"/>
  <c r="BS4" i="2"/>
  <c r="BT4" i="2"/>
  <c r="BU4" i="2"/>
  <c r="BV4" i="2"/>
  <c r="BW4" i="2"/>
  <c r="BX4" i="2"/>
  <c r="BY4" i="2"/>
  <c r="BZ4" i="2"/>
  <c r="CA4" i="2"/>
  <c r="CB4" i="2"/>
  <c r="CC4" i="2"/>
  <c r="CD4" i="2"/>
  <c r="CE4" i="2"/>
  <c r="CF4" i="2"/>
  <c r="CG4" i="2"/>
  <c r="CH4" i="2"/>
  <c r="CI4" i="2"/>
  <c r="CJ4" i="2"/>
  <c r="CK4" i="2"/>
  <c r="CL4" i="2"/>
  <c r="C5"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AO5" i="2"/>
  <c r="AP5" i="2"/>
  <c r="AQ5" i="2"/>
  <c r="AR5" i="2"/>
  <c r="AS5" i="2"/>
  <c r="AT5" i="2"/>
  <c r="AU5" i="2"/>
  <c r="AV5" i="2"/>
  <c r="AW5" i="2"/>
  <c r="AX5" i="2"/>
  <c r="AY5" i="2"/>
  <c r="AZ5" i="2"/>
  <c r="BA5" i="2"/>
  <c r="BB5" i="2"/>
  <c r="BC5" i="2"/>
  <c r="BD5" i="2"/>
  <c r="BE5" i="2"/>
  <c r="BF5" i="2"/>
  <c r="BG5" i="2"/>
  <c r="BH5" i="2"/>
  <c r="BI5" i="2"/>
  <c r="BJ5" i="2"/>
  <c r="BK5" i="2"/>
  <c r="BL5" i="2"/>
  <c r="BM5" i="2"/>
  <c r="BN5" i="2"/>
  <c r="BO5" i="2"/>
  <c r="BP5" i="2"/>
  <c r="BQ5" i="2"/>
  <c r="BR5" i="2"/>
  <c r="BS5" i="2"/>
  <c r="BT5" i="2"/>
  <c r="BU5" i="2"/>
  <c r="BV5" i="2"/>
  <c r="BW5" i="2"/>
  <c r="BX5" i="2"/>
  <c r="BY5" i="2"/>
  <c r="BZ5" i="2"/>
  <c r="CA5" i="2"/>
  <c r="CB5" i="2"/>
  <c r="CC5" i="2"/>
  <c r="CD5" i="2"/>
  <c r="CE5" i="2"/>
  <c r="CF5" i="2"/>
  <c r="CG5" i="2"/>
  <c r="CH5" i="2"/>
  <c r="CI5" i="2"/>
  <c r="CJ5" i="2"/>
  <c r="CK5" i="2"/>
  <c r="CL5" i="2"/>
  <c r="C6" i="2"/>
  <c r="D6" i="2"/>
  <c r="E6" i="2"/>
  <c r="F6" i="2"/>
  <c r="G6" i="2"/>
  <c r="H6" i="2"/>
  <c r="I6" i="2"/>
  <c r="J6" i="2"/>
  <c r="K6" i="2"/>
  <c r="L6" i="2"/>
  <c r="M6" i="2"/>
  <c r="N6" i="2"/>
  <c r="O6" i="2"/>
  <c r="P6" i="2"/>
  <c r="Q6" i="2"/>
  <c r="R6" i="2"/>
  <c r="S6" i="2"/>
  <c r="T6" i="2"/>
  <c r="U6" i="2"/>
  <c r="V6" i="2"/>
  <c r="W6" i="2"/>
  <c r="X6" i="2"/>
  <c r="Y6" i="2"/>
  <c r="Z6" i="2"/>
  <c r="AA6" i="2"/>
  <c r="AB6" i="2"/>
  <c r="AC6" i="2"/>
  <c r="AD6" i="2"/>
  <c r="AE6" i="2"/>
  <c r="AF6" i="2"/>
  <c r="AG6" i="2"/>
  <c r="AH6" i="2"/>
  <c r="AI6" i="2"/>
  <c r="AJ6" i="2"/>
  <c r="AK6" i="2"/>
  <c r="AL6" i="2"/>
  <c r="AM6" i="2"/>
  <c r="AN6" i="2"/>
  <c r="AO6" i="2"/>
  <c r="AP6" i="2"/>
  <c r="AQ6" i="2"/>
  <c r="AR6" i="2"/>
  <c r="AS6" i="2"/>
  <c r="AT6" i="2"/>
  <c r="AU6" i="2"/>
  <c r="AV6" i="2"/>
  <c r="AW6" i="2"/>
  <c r="AX6" i="2"/>
  <c r="AY6" i="2"/>
  <c r="AZ6" i="2"/>
  <c r="BA6" i="2"/>
  <c r="BB6" i="2"/>
  <c r="BC6" i="2"/>
  <c r="BD6" i="2"/>
  <c r="BE6" i="2"/>
  <c r="BF6" i="2"/>
  <c r="BG6" i="2"/>
  <c r="BH6" i="2"/>
  <c r="BI6" i="2"/>
  <c r="BJ6" i="2"/>
  <c r="BK6" i="2"/>
  <c r="BL6" i="2"/>
  <c r="BM6" i="2"/>
  <c r="BN6" i="2"/>
  <c r="BO6" i="2"/>
  <c r="BP6" i="2"/>
  <c r="BQ6" i="2"/>
  <c r="BR6" i="2"/>
  <c r="BS6" i="2"/>
  <c r="BT6" i="2"/>
  <c r="BU6" i="2"/>
  <c r="BV6" i="2"/>
  <c r="BW6" i="2"/>
  <c r="BX6" i="2"/>
  <c r="BY6" i="2"/>
  <c r="BZ6" i="2"/>
  <c r="CA6" i="2"/>
  <c r="CB6" i="2"/>
  <c r="CC6" i="2"/>
  <c r="CD6" i="2"/>
  <c r="CE6" i="2"/>
  <c r="CF6" i="2"/>
  <c r="CG6" i="2"/>
  <c r="CH6" i="2"/>
  <c r="CI6" i="2"/>
  <c r="CJ6" i="2"/>
  <c r="CK6" i="2"/>
  <c r="CL6" i="2"/>
  <c r="C7" i="2"/>
  <c r="D7" i="2"/>
  <c r="E7" i="2"/>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AN7" i="2"/>
  <c r="AO7" i="2"/>
  <c r="AP7" i="2"/>
  <c r="AQ7" i="2"/>
  <c r="AR7" i="2"/>
  <c r="AS7" i="2"/>
  <c r="AT7" i="2"/>
  <c r="AU7" i="2"/>
  <c r="AV7" i="2"/>
  <c r="AW7" i="2"/>
  <c r="AX7" i="2"/>
  <c r="AY7" i="2"/>
  <c r="AZ7" i="2"/>
  <c r="BA7" i="2"/>
  <c r="BB7" i="2"/>
  <c r="BC7" i="2"/>
  <c r="BD7" i="2"/>
  <c r="BE7" i="2"/>
  <c r="BF7" i="2"/>
  <c r="BG7" i="2"/>
  <c r="BH7" i="2"/>
  <c r="BI7" i="2"/>
  <c r="BJ7" i="2"/>
  <c r="BK7" i="2"/>
  <c r="BL7" i="2"/>
  <c r="BM7" i="2"/>
  <c r="BN7" i="2"/>
  <c r="BO7" i="2"/>
  <c r="BP7" i="2"/>
  <c r="BQ7" i="2"/>
  <c r="BR7" i="2"/>
  <c r="BS7" i="2"/>
  <c r="BT7" i="2"/>
  <c r="BU7" i="2"/>
  <c r="BV7" i="2"/>
  <c r="BW7" i="2"/>
  <c r="BX7" i="2"/>
  <c r="BY7" i="2"/>
  <c r="BZ7" i="2"/>
  <c r="CA7" i="2"/>
  <c r="CB7" i="2"/>
  <c r="CC7" i="2"/>
  <c r="CD7" i="2"/>
  <c r="CE7" i="2"/>
  <c r="CF7" i="2"/>
  <c r="CG7" i="2"/>
  <c r="CH7" i="2"/>
  <c r="CI7" i="2"/>
  <c r="CJ7" i="2"/>
  <c r="CK7" i="2"/>
  <c r="CL7" i="2"/>
  <c r="C8"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AM8" i="2"/>
  <c r="AN8" i="2"/>
  <c r="AO8" i="2"/>
  <c r="AP8" i="2"/>
  <c r="AQ8" i="2"/>
  <c r="AR8" i="2"/>
  <c r="AS8" i="2"/>
  <c r="AT8" i="2"/>
  <c r="AU8" i="2"/>
  <c r="AV8" i="2"/>
  <c r="AW8" i="2"/>
  <c r="AX8" i="2"/>
  <c r="AY8" i="2"/>
  <c r="AZ8" i="2"/>
  <c r="BA8" i="2"/>
  <c r="BB8" i="2"/>
  <c r="BC8" i="2"/>
  <c r="BD8" i="2"/>
  <c r="BE8" i="2"/>
  <c r="BF8" i="2"/>
  <c r="BG8" i="2"/>
  <c r="BH8" i="2"/>
  <c r="BI8" i="2"/>
  <c r="BJ8" i="2"/>
  <c r="BK8" i="2"/>
  <c r="BL8" i="2"/>
  <c r="BM8" i="2"/>
  <c r="BN8" i="2"/>
  <c r="BO8" i="2"/>
  <c r="BP8" i="2"/>
  <c r="BQ8" i="2"/>
  <c r="BR8" i="2"/>
  <c r="BS8" i="2"/>
  <c r="BT8" i="2"/>
  <c r="BU8" i="2"/>
  <c r="BV8" i="2"/>
  <c r="BW8" i="2"/>
  <c r="BX8" i="2"/>
  <c r="BY8" i="2"/>
  <c r="BZ8" i="2"/>
  <c r="CA8" i="2"/>
  <c r="CB8" i="2"/>
  <c r="CC8" i="2"/>
  <c r="CD8" i="2"/>
  <c r="CE8" i="2"/>
  <c r="CF8" i="2"/>
  <c r="CG8" i="2"/>
  <c r="CH8" i="2"/>
  <c r="CI8" i="2"/>
  <c r="CJ8" i="2"/>
  <c r="CK8" i="2"/>
  <c r="CL8" i="2"/>
  <c r="C9" i="2"/>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AO9" i="2"/>
  <c r="AP9" i="2"/>
  <c r="AQ9" i="2"/>
  <c r="AR9" i="2"/>
  <c r="AS9" i="2"/>
  <c r="AT9" i="2"/>
  <c r="AU9" i="2"/>
  <c r="AV9" i="2"/>
  <c r="AW9" i="2"/>
  <c r="AX9" i="2"/>
  <c r="AY9" i="2"/>
  <c r="AZ9" i="2"/>
  <c r="BA9" i="2"/>
  <c r="BB9" i="2"/>
  <c r="BC9" i="2"/>
  <c r="BD9" i="2"/>
  <c r="BE9" i="2"/>
  <c r="BF9" i="2"/>
  <c r="BG9" i="2"/>
  <c r="BH9" i="2"/>
  <c r="BI9" i="2"/>
  <c r="BJ9" i="2"/>
  <c r="BK9" i="2"/>
  <c r="BL9" i="2"/>
  <c r="BM9" i="2"/>
  <c r="BN9" i="2"/>
  <c r="BO9" i="2"/>
  <c r="BP9" i="2"/>
  <c r="BQ9" i="2"/>
  <c r="BR9" i="2"/>
  <c r="BS9" i="2"/>
  <c r="BT9" i="2"/>
  <c r="BU9" i="2"/>
  <c r="BV9" i="2"/>
  <c r="BW9" i="2"/>
  <c r="BX9" i="2"/>
  <c r="BY9" i="2"/>
  <c r="BZ9" i="2"/>
  <c r="CA9" i="2"/>
  <c r="CB9" i="2"/>
  <c r="CC9" i="2"/>
  <c r="CD9" i="2"/>
  <c r="CE9" i="2"/>
  <c r="CF9" i="2"/>
  <c r="CG9" i="2"/>
  <c r="CH9" i="2"/>
  <c r="CI9" i="2"/>
  <c r="CJ9" i="2"/>
  <c r="CK9" i="2"/>
  <c r="CL9" i="2"/>
  <c r="C10" i="2"/>
  <c r="D10" i="2"/>
  <c r="E10" i="2"/>
  <c r="F10" i="2"/>
  <c r="G10" i="2"/>
  <c r="H10" i="2"/>
  <c r="I10" i="2"/>
  <c r="J10" i="2"/>
  <c r="K10" i="2"/>
  <c r="L10" i="2"/>
  <c r="M10" i="2"/>
  <c r="N10" i="2"/>
  <c r="O10" i="2"/>
  <c r="P10" i="2"/>
  <c r="Q10" i="2"/>
  <c r="R10" i="2"/>
  <c r="S10" i="2"/>
  <c r="T10" i="2"/>
  <c r="U10" i="2"/>
  <c r="V10" i="2"/>
  <c r="W10" i="2"/>
  <c r="X10" i="2"/>
  <c r="Y10" i="2"/>
  <c r="Z10" i="2"/>
  <c r="AA10" i="2"/>
  <c r="AB10" i="2"/>
  <c r="AC10" i="2"/>
  <c r="AD10" i="2"/>
  <c r="AE10" i="2"/>
  <c r="AF10" i="2"/>
  <c r="AG10" i="2"/>
  <c r="AH10" i="2"/>
  <c r="AI10" i="2"/>
  <c r="AJ10" i="2"/>
  <c r="AK10" i="2"/>
  <c r="AL10" i="2"/>
  <c r="AM10" i="2"/>
  <c r="AN10" i="2"/>
  <c r="AO10" i="2"/>
  <c r="AP10" i="2"/>
  <c r="AQ10" i="2"/>
  <c r="AR10" i="2"/>
  <c r="AS10" i="2"/>
  <c r="AT10" i="2"/>
  <c r="AU10" i="2"/>
  <c r="AV10" i="2"/>
  <c r="AW10" i="2"/>
  <c r="AX10" i="2"/>
  <c r="AY10" i="2"/>
  <c r="AZ10" i="2"/>
  <c r="BA10" i="2"/>
  <c r="BB10" i="2"/>
  <c r="BC10" i="2"/>
  <c r="BD10" i="2"/>
  <c r="BE10" i="2"/>
  <c r="BF10" i="2"/>
  <c r="BG10" i="2"/>
  <c r="BH10" i="2"/>
  <c r="BI10" i="2"/>
  <c r="BJ10" i="2"/>
  <c r="BK10" i="2"/>
  <c r="BL10" i="2"/>
  <c r="BM10" i="2"/>
  <c r="BN10" i="2"/>
  <c r="BO10" i="2"/>
  <c r="BP10" i="2"/>
  <c r="BQ10" i="2"/>
  <c r="BR10" i="2"/>
  <c r="BS10" i="2"/>
  <c r="BT10" i="2"/>
  <c r="BU10" i="2"/>
  <c r="BV10" i="2"/>
  <c r="BW10" i="2"/>
  <c r="BX10" i="2"/>
  <c r="BY10" i="2"/>
  <c r="BZ10" i="2"/>
  <c r="CA10" i="2"/>
  <c r="CB10" i="2"/>
  <c r="CC10" i="2"/>
  <c r="CD10" i="2"/>
  <c r="CE10" i="2"/>
  <c r="CF10" i="2"/>
  <c r="CG10" i="2"/>
  <c r="CH10" i="2"/>
  <c r="CI10" i="2"/>
  <c r="CJ10" i="2"/>
  <c r="CK10" i="2"/>
  <c r="CL10" i="2"/>
  <c r="C11" i="2"/>
  <c r="D11" i="2"/>
  <c r="E11" i="2"/>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AL11" i="2"/>
  <c r="AM11" i="2"/>
  <c r="AN11" i="2"/>
  <c r="AO11" i="2"/>
  <c r="AP11" i="2"/>
  <c r="AQ11" i="2"/>
  <c r="AR11" i="2"/>
  <c r="AS11" i="2"/>
  <c r="AT11" i="2"/>
  <c r="AU11" i="2"/>
  <c r="AV11" i="2"/>
  <c r="AW11" i="2"/>
  <c r="AX11" i="2"/>
  <c r="AY11" i="2"/>
  <c r="AZ11" i="2"/>
  <c r="BA11" i="2"/>
  <c r="BB11" i="2"/>
  <c r="BC11" i="2"/>
  <c r="BD11" i="2"/>
  <c r="BE11" i="2"/>
  <c r="BF11" i="2"/>
  <c r="BG11" i="2"/>
  <c r="BH11" i="2"/>
  <c r="BI11" i="2"/>
  <c r="BJ11" i="2"/>
  <c r="BK11" i="2"/>
  <c r="BL11" i="2"/>
  <c r="BM11" i="2"/>
  <c r="BN11" i="2"/>
  <c r="BO11" i="2"/>
  <c r="BP11" i="2"/>
  <c r="BQ11" i="2"/>
  <c r="BR11" i="2"/>
  <c r="BS11" i="2"/>
  <c r="BT11" i="2"/>
  <c r="BU11" i="2"/>
  <c r="BV11" i="2"/>
  <c r="BW11" i="2"/>
  <c r="BX11" i="2"/>
  <c r="BY11" i="2"/>
  <c r="BZ11" i="2"/>
  <c r="CA11" i="2"/>
  <c r="CB11" i="2"/>
  <c r="CC11" i="2"/>
  <c r="CD11" i="2"/>
  <c r="CE11" i="2"/>
  <c r="CF11" i="2"/>
  <c r="CG11" i="2"/>
  <c r="CH11" i="2"/>
  <c r="CI11" i="2"/>
  <c r="CJ11" i="2"/>
  <c r="CK11" i="2"/>
  <c r="CL11" i="2"/>
  <c r="C12" i="2"/>
  <c r="D12" i="2"/>
  <c r="E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BD12" i="2"/>
  <c r="BE12" i="2"/>
  <c r="BF12" i="2"/>
  <c r="BG12" i="2"/>
  <c r="BH12" i="2"/>
  <c r="BI12" i="2"/>
  <c r="BJ12" i="2"/>
  <c r="BK12" i="2"/>
  <c r="BL12" i="2"/>
  <c r="BM12" i="2"/>
  <c r="BN12" i="2"/>
  <c r="BO12" i="2"/>
  <c r="BP12" i="2"/>
  <c r="BQ12" i="2"/>
  <c r="BR12" i="2"/>
  <c r="BS12" i="2"/>
  <c r="BT12" i="2"/>
  <c r="BU12" i="2"/>
  <c r="BV12" i="2"/>
  <c r="BW12" i="2"/>
  <c r="BX12" i="2"/>
  <c r="BY12" i="2"/>
  <c r="BZ12" i="2"/>
  <c r="CA12" i="2"/>
  <c r="CB12" i="2"/>
  <c r="CC12" i="2"/>
  <c r="CD12" i="2"/>
  <c r="CE12" i="2"/>
  <c r="CF12" i="2"/>
  <c r="CG12" i="2"/>
  <c r="CH12" i="2"/>
  <c r="CI12" i="2"/>
  <c r="CJ12" i="2"/>
  <c r="CK12" i="2"/>
  <c r="CL12" i="2"/>
  <c r="C13" i="2"/>
  <c r="D13" i="2"/>
  <c r="E13" i="2"/>
  <c r="F13" i="2"/>
  <c r="G13" i="2"/>
  <c r="H13" i="2"/>
  <c r="I13" i="2"/>
  <c r="J13" i="2"/>
  <c r="K13" i="2"/>
  <c r="L13" i="2"/>
  <c r="M13" i="2"/>
  <c r="N13" i="2"/>
  <c r="O13" i="2"/>
  <c r="P13" i="2"/>
  <c r="Q13" i="2"/>
  <c r="R13" i="2"/>
  <c r="S13" i="2"/>
  <c r="T13" i="2"/>
  <c r="U13" i="2"/>
  <c r="V13" i="2"/>
  <c r="W13" i="2"/>
  <c r="X13" i="2"/>
  <c r="Y13" i="2"/>
  <c r="Z13" i="2"/>
  <c r="AA13" i="2"/>
  <c r="AB13" i="2"/>
  <c r="AC13" i="2"/>
  <c r="AD13" i="2"/>
  <c r="AE13" i="2"/>
  <c r="AF13" i="2"/>
  <c r="AG13" i="2"/>
  <c r="AH13" i="2"/>
  <c r="AI13" i="2"/>
  <c r="AJ13" i="2"/>
  <c r="AK13" i="2"/>
  <c r="AL13" i="2"/>
  <c r="AM13" i="2"/>
  <c r="AN13" i="2"/>
  <c r="AO13" i="2"/>
  <c r="AP13" i="2"/>
  <c r="AQ13" i="2"/>
  <c r="AR13" i="2"/>
  <c r="AS13" i="2"/>
  <c r="AT13" i="2"/>
  <c r="AU13" i="2"/>
  <c r="AV13" i="2"/>
  <c r="AW13" i="2"/>
  <c r="AX13" i="2"/>
  <c r="AY13" i="2"/>
  <c r="AZ13" i="2"/>
  <c r="BA13" i="2"/>
  <c r="BB13" i="2"/>
  <c r="BC13" i="2"/>
  <c r="BD13" i="2"/>
  <c r="BE13" i="2"/>
  <c r="BF13" i="2"/>
  <c r="BG13" i="2"/>
  <c r="BH13" i="2"/>
  <c r="BI13" i="2"/>
  <c r="BJ13" i="2"/>
  <c r="BK13" i="2"/>
  <c r="BL13" i="2"/>
  <c r="BM13" i="2"/>
  <c r="BN13" i="2"/>
  <c r="BO13" i="2"/>
  <c r="BP13" i="2"/>
  <c r="BQ13" i="2"/>
  <c r="BR13" i="2"/>
  <c r="BS13" i="2"/>
  <c r="BT13" i="2"/>
  <c r="BU13" i="2"/>
  <c r="BV13" i="2"/>
  <c r="BW13" i="2"/>
  <c r="BX13" i="2"/>
  <c r="BY13" i="2"/>
  <c r="BZ13" i="2"/>
  <c r="CA13" i="2"/>
  <c r="CB13" i="2"/>
  <c r="CC13" i="2"/>
  <c r="CD13" i="2"/>
  <c r="CE13" i="2"/>
  <c r="CF13" i="2"/>
  <c r="CG13" i="2"/>
  <c r="CH13" i="2"/>
  <c r="CI13" i="2"/>
  <c r="CJ13" i="2"/>
  <c r="CK13" i="2"/>
  <c r="CL13" i="2"/>
  <c r="C14" i="2"/>
  <c r="D14" i="2"/>
  <c r="E14" i="2"/>
  <c r="F14" i="2"/>
  <c r="G14" i="2"/>
  <c r="H14" i="2"/>
  <c r="I14" i="2"/>
  <c r="J14" i="2"/>
  <c r="K14" i="2"/>
  <c r="L14" i="2"/>
  <c r="M14" i="2"/>
  <c r="N14" i="2"/>
  <c r="O14" i="2"/>
  <c r="P14" i="2"/>
  <c r="Q14" i="2"/>
  <c r="R14" i="2"/>
  <c r="S14" i="2"/>
  <c r="T14" i="2"/>
  <c r="U14" i="2"/>
  <c r="V14" i="2"/>
  <c r="W14" i="2"/>
  <c r="X14" i="2"/>
  <c r="Y14" i="2"/>
  <c r="Z14" i="2"/>
  <c r="AA14" i="2"/>
  <c r="AB14" i="2"/>
  <c r="AC14" i="2"/>
  <c r="AD14" i="2"/>
  <c r="AE14" i="2"/>
  <c r="AF14" i="2"/>
  <c r="AG14" i="2"/>
  <c r="AH14" i="2"/>
  <c r="AI14" i="2"/>
  <c r="AJ14" i="2"/>
  <c r="AK14" i="2"/>
  <c r="AL14" i="2"/>
  <c r="AM14" i="2"/>
  <c r="AN14" i="2"/>
  <c r="AO14" i="2"/>
  <c r="AP14" i="2"/>
  <c r="AQ14" i="2"/>
  <c r="AR14" i="2"/>
  <c r="AS14" i="2"/>
  <c r="AT14" i="2"/>
  <c r="AU14" i="2"/>
  <c r="AV14" i="2"/>
  <c r="AW14" i="2"/>
  <c r="AX14" i="2"/>
  <c r="AY14" i="2"/>
  <c r="AZ14" i="2"/>
  <c r="BA14" i="2"/>
  <c r="BB14" i="2"/>
  <c r="BC14" i="2"/>
  <c r="BD14" i="2"/>
  <c r="BE14" i="2"/>
  <c r="BF14" i="2"/>
  <c r="BG14" i="2"/>
  <c r="BH14" i="2"/>
  <c r="BI14" i="2"/>
  <c r="BJ14" i="2"/>
  <c r="BK14" i="2"/>
  <c r="BL14" i="2"/>
  <c r="BM14" i="2"/>
  <c r="BN14" i="2"/>
  <c r="BO14" i="2"/>
  <c r="BP14" i="2"/>
  <c r="BQ14" i="2"/>
  <c r="BR14" i="2"/>
  <c r="BS14" i="2"/>
  <c r="BT14" i="2"/>
  <c r="BU14" i="2"/>
  <c r="BV14" i="2"/>
  <c r="BW14" i="2"/>
  <c r="BX14" i="2"/>
  <c r="BY14" i="2"/>
  <c r="BZ14" i="2"/>
  <c r="CA14" i="2"/>
  <c r="CB14" i="2"/>
  <c r="CC14" i="2"/>
  <c r="CD14" i="2"/>
  <c r="CE14" i="2"/>
  <c r="CF14" i="2"/>
  <c r="CG14" i="2"/>
  <c r="CH14" i="2"/>
  <c r="CI14" i="2"/>
  <c r="CJ14" i="2"/>
  <c r="CK14" i="2"/>
  <c r="CL14" i="2"/>
  <c r="C15" i="2"/>
  <c r="D15" i="2"/>
  <c r="E15" i="2"/>
  <c r="F15" i="2"/>
  <c r="G15" i="2"/>
  <c r="H15" i="2"/>
  <c r="I15" i="2"/>
  <c r="J15" i="2"/>
  <c r="K15" i="2"/>
  <c r="L15" i="2"/>
  <c r="M15" i="2"/>
  <c r="N15" i="2"/>
  <c r="O15" i="2"/>
  <c r="P15" i="2"/>
  <c r="Q15" i="2"/>
  <c r="R15" i="2"/>
  <c r="S15" i="2"/>
  <c r="T15" i="2"/>
  <c r="U15" i="2"/>
  <c r="V15" i="2"/>
  <c r="W15" i="2"/>
  <c r="X15" i="2"/>
  <c r="Y15" i="2"/>
  <c r="Z15" i="2"/>
  <c r="AA15" i="2"/>
  <c r="AB15" i="2"/>
  <c r="AC15" i="2"/>
  <c r="AD15" i="2"/>
  <c r="AE15" i="2"/>
  <c r="AF15" i="2"/>
  <c r="AG15" i="2"/>
  <c r="AH15" i="2"/>
  <c r="AI15" i="2"/>
  <c r="AJ15" i="2"/>
  <c r="AK15" i="2"/>
  <c r="AL15" i="2"/>
  <c r="AM15" i="2"/>
  <c r="AN15" i="2"/>
  <c r="AO15" i="2"/>
  <c r="AP15" i="2"/>
  <c r="AQ15" i="2"/>
  <c r="AR15" i="2"/>
  <c r="AS15" i="2"/>
  <c r="AT15" i="2"/>
  <c r="AU15" i="2"/>
  <c r="AV15" i="2"/>
  <c r="AW15" i="2"/>
  <c r="AX15" i="2"/>
  <c r="AY15" i="2"/>
  <c r="AZ15" i="2"/>
  <c r="BA15" i="2"/>
  <c r="BB15" i="2"/>
  <c r="BC15" i="2"/>
  <c r="BD15" i="2"/>
  <c r="BE15" i="2"/>
  <c r="BF15" i="2"/>
  <c r="BG15" i="2"/>
  <c r="BH15" i="2"/>
  <c r="BI15" i="2"/>
  <c r="BJ15" i="2"/>
  <c r="BK15" i="2"/>
  <c r="BL15" i="2"/>
  <c r="BM15" i="2"/>
  <c r="BN15" i="2"/>
  <c r="BO15" i="2"/>
  <c r="BP15" i="2"/>
  <c r="BQ15" i="2"/>
  <c r="BR15" i="2"/>
  <c r="BS15" i="2"/>
  <c r="BT15" i="2"/>
  <c r="BU15" i="2"/>
  <c r="BV15" i="2"/>
  <c r="BW15" i="2"/>
  <c r="BX15" i="2"/>
  <c r="BY15" i="2"/>
  <c r="BZ15" i="2"/>
  <c r="CA15" i="2"/>
  <c r="CB15" i="2"/>
  <c r="CC15" i="2"/>
  <c r="CD15" i="2"/>
  <c r="CE15" i="2"/>
  <c r="CF15" i="2"/>
  <c r="CG15" i="2"/>
  <c r="CH15" i="2"/>
  <c r="CI15" i="2"/>
  <c r="CJ15" i="2"/>
  <c r="CK15" i="2"/>
  <c r="CL15" i="2"/>
  <c r="C16" i="2"/>
  <c r="D16" i="2"/>
  <c r="E16" i="2"/>
  <c r="F16" i="2"/>
  <c r="G16" i="2"/>
  <c r="H16" i="2"/>
  <c r="I16" i="2"/>
  <c r="J16" i="2"/>
  <c r="K16" i="2"/>
  <c r="L16" i="2"/>
  <c r="M16" i="2"/>
  <c r="N16" i="2"/>
  <c r="O16" i="2"/>
  <c r="P16" i="2"/>
  <c r="Q16" i="2"/>
  <c r="R16" i="2"/>
  <c r="S16" i="2"/>
  <c r="T16" i="2"/>
  <c r="U16" i="2"/>
  <c r="V16" i="2"/>
  <c r="W16" i="2"/>
  <c r="X16" i="2"/>
  <c r="Y16" i="2"/>
  <c r="Z16" i="2"/>
  <c r="AA16" i="2"/>
  <c r="AB16" i="2"/>
  <c r="AC16" i="2"/>
  <c r="AD16" i="2"/>
  <c r="AE16" i="2"/>
  <c r="AF16" i="2"/>
  <c r="AG16" i="2"/>
  <c r="AH16" i="2"/>
  <c r="AI16" i="2"/>
  <c r="AJ16" i="2"/>
  <c r="AK16" i="2"/>
  <c r="AL16" i="2"/>
  <c r="AM16" i="2"/>
  <c r="AN16" i="2"/>
  <c r="AO16" i="2"/>
  <c r="AP16" i="2"/>
  <c r="AQ16" i="2"/>
  <c r="AR16" i="2"/>
  <c r="AS16" i="2"/>
  <c r="AT16" i="2"/>
  <c r="AU16" i="2"/>
  <c r="AV16" i="2"/>
  <c r="AW16" i="2"/>
  <c r="AX16" i="2"/>
  <c r="AY16" i="2"/>
  <c r="AZ16" i="2"/>
  <c r="BA16" i="2"/>
  <c r="BB16" i="2"/>
  <c r="BC16" i="2"/>
  <c r="BD16" i="2"/>
  <c r="BE16" i="2"/>
  <c r="BF16" i="2"/>
  <c r="BG16" i="2"/>
  <c r="BH16" i="2"/>
  <c r="BI16" i="2"/>
  <c r="BJ16" i="2"/>
  <c r="BK16" i="2"/>
  <c r="BL16" i="2"/>
  <c r="BM16" i="2"/>
  <c r="BN16" i="2"/>
  <c r="BO16" i="2"/>
  <c r="BP16" i="2"/>
  <c r="BQ16" i="2"/>
  <c r="BR16" i="2"/>
  <c r="BS16" i="2"/>
  <c r="BT16" i="2"/>
  <c r="BU16" i="2"/>
  <c r="BV16" i="2"/>
  <c r="BW16" i="2"/>
  <c r="BX16" i="2"/>
  <c r="BY16" i="2"/>
  <c r="BZ16" i="2"/>
  <c r="CA16" i="2"/>
  <c r="CB16" i="2"/>
  <c r="CC16" i="2"/>
  <c r="CD16" i="2"/>
  <c r="CE16" i="2"/>
  <c r="CF16" i="2"/>
  <c r="CG16" i="2"/>
  <c r="CH16" i="2"/>
  <c r="CI16" i="2"/>
  <c r="CJ16" i="2"/>
  <c r="CK16" i="2"/>
  <c r="CL16" i="2"/>
  <c r="C17" i="2"/>
  <c r="D17" i="2"/>
  <c r="E17" i="2"/>
  <c r="F17" i="2"/>
  <c r="G17" i="2"/>
  <c r="H17" i="2"/>
  <c r="I17" i="2"/>
  <c r="J17" i="2"/>
  <c r="K17" i="2"/>
  <c r="L17" i="2"/>
  <c r="M17" i="2"/>
  <c r="N17" i="2"/>
  <c r="O17" i="2"/>
  <c r="P17" i="2"/>
  <c r="Q17" i="2"/>
  <c r="R17" i="2"/>
  <c r="S17" i="2"/>
  <c r="T17" i="2"/>
  <c r="U17" i="2"/>
  <c r="V17" i="2"/>
  <c r="W17" i="2"/>
  <c r="X17" i="2"/>
  <c r="Y17" i="2"/>
  <c r="Z17" i="2"/>
  <c r="AA17" i="2"/>
  <c r="AB17" i="2"/>
  <c r="AC17" i="2"/>
  <c r="AD17" i="2"/>
  <c r="AE17" i="2"/>
  <c r="AF17" i="2"/>
  <c r="AG17" i="2"/>
  <c r="AH17" i="2"/>
  <c r="AI17" i="2"/>
  <c r="AJ17" i="2"/>
  <c r="AK17" i="2"/>
  <c r="AL17" i="2"/>
  <c r="AM17" i="2"/>
  <c r="AN17" i="2"/>
  <c r="AO17" i="2"/>
  <c r="AP17" i="2"/>
  <c r="AQ17" i="2"/>
  <c r="AR17" i="2"/>
  <c r="AS17" i="2"/>
  <c r="AT17" i="2"/>
  <c r="AU17" i="2"/>
  <c r="AV17" i="2"/>
  <c r="AW17" i="2"/>
  <c r="AX17" i="2"/>
  <c r="AY17" i="2"/>
  <c r="AZ17" i="2"/>
  <c r="BA17" i="2"/>
  <c r="BB17" i="2"/>
  <c r="BC17" i="2"/>
  <c r="BD17" i="2"/>
  <c r="BE17" i="2"/>
  <c r="BF17" i="2"/>
  <c r="BG17" i="2"/>
  <c r="BH17" i="2"/>
  <c r="BI17" i="2"/>
  <c r="BJ17" i="2"/>
  <c r="BK17" i="2"/>
  <c r="BL17" i="2"/>
  <c r="BM17" i="2"/>
  <c r="BN17" i="2"/>
  <c r="BO17" i="2"/>
  <c r="BP17" i="2"/>
  <c r="BQ17" i="2"/>
  <c r="BR17" i="2"/>
  <c r="BS17" i="2"/>
  <c r="BT17" i="2"/>
  <c r="BU17" i="2"/>
  <c r="BV17" i="2"/>
  <c r="BW17" i="2"/>
  <c r="BX17" i="2"/>
  <c r="BY17" i="2"/>
  <c r="BZ17" i="2"/>
  <c r="CA17" i="2"/>
  <c r="CB17" i="2"/>
  <c r="CC17" i="2"/>
  <c r="CD17" i="2"/>
  <c r="CE17" i="2"/>
  <c r="CF17" i="2"/>
  <c r="CG17" i="2"/>
  <c r="CH17" i="2"/>
  <c r="CI17" i="2"/>
  <c r="CJ17" i="2"/>
  <c r="CK17" i="2"/>
  <c r="CL17" i="2"/>
  <c r="C18" i="2"/>
  <c r="D18" i="2"/>
  <c r="E18" i="2"/>
  <c r="F18" i="2"/>
  <c r="G18" i="2"/>
  <c r="H18" i="2"/>
  <c r="I18" i="2"/>
  <c r="J18" i="2"/>
  <c r="K18" i="2"/>
  <c r="L18" i="2"/>
  <c r="M18" i="2"/>
  <c r="N18" i="2"/>
  <c r="O18" i="2"/>
  <c r="P18" i="2"/>
  <c r="Q18" i="2"/>
  <c r="R18" i="2"/>
  <c r="S18" i="2"/>
  <c r="T18" i="2"/>
  <c r="U18" i="2"/>
  <c r="V18" i="2"/>
  <c r="W18" i="2"/>
  <c r="X18" i="2"/>
  <c r="Y18" i="2"/>
  <c r="Z18" i="2"/>
  <c r="AA18" i="2"/>
  <c r="AB18" i="2"/>
  <c r="AC18" i="2"/>
  <c r="AD18" i="2"/>
  <c r="AE18" i="2"/>
  <c r="AF18" i="2"/>
  <c r="AG18" i="2"/>
  <c r="AH18" i="2"/>
  <c r="AI18" i="2"/>
  <c r="AJ18" i="2"/>
  <c r="AK18" i="2"/>
  <c r="AL18" i="2"/>
  <c r="AM18" i="2"/>
  <c r="AN18" i="2"/>
  <c r="AO18" i="2"/>
  <c r="AP18" i="2"/>
  <c r="AQ18" i="2"/>
  <c r="AR18" i="2"/>
  <c r="AS18" i="2"/>
  <c r="AT18" i="2"/>
  <c r="AU18" i="2"/>
  <c r="AV18" i="2"/>
  <c r="AW18" i="2"/>
  <c r="AX18" i="2"/>
  <c r="AY18" i="2"/>
  <c r="AZ18" i="2"/>
  <c r="BA18" i="2"/>
  <c r="BB18" i="2"/>
  <c r="BC18" i="2"/>
  <c r="BD18" i="2"/>
  <c r="BE18" i="2"/>
  <c r="BF18" i="2"/>
  <c r="BG18" i="2"/>
  <c r="BH18" i="2"/>
  <c r="BI18" i="2"/>
  <c r="BJ18" i="2"/>
  <c r="BK18" i="2"/>
  <c r="BL18" i="2"/>
  <c r="BM18" i="2"/>
  <c r="BN18" i="2"/>
  <c r="BO18" i="2"/>
  <c r="BP18" i="2"/>
  <c r="BQ18" i="2"/>
  <c r="BR18" i="2"/>
  <c r="BS18" i="2"/>
  <c r="BT18" i="2"/>
  <c r="BU18" i="2"/>
  <c r="BV18" i="2"/>
  <c r="BW18" i="2"/>
  <c r="BX18" i="2"/>
  <c r="BY18" i="2"/>
  <c r="BZ18" i="2"/>
  <c r="CA18" i="2"/>
  <c r="CB18" i="2"/>
  <c r="CC18" i="2"/>
  <c r="CD18" i="2"/>
  <c r="CE18" i="2"/>
  <c r="CF18" i="2"/>
  <c r="CG18" i="2"/>
  <c r="CH18" i="2"/>
  <c r="CI18" i="2"/>
  <c r="CJ18" i="2"/>
  <c r="CK18" i="2"/>
  <c r="CL18" i="2"/>
  <c r="C19" i="2"/>
  <c r="D19" i="2"/>
  <c r="E19" i="2"/>
  <c r="F19" i="2"/>
  <c r="G19" i="2"/>
  <c r="H19" i="2"/>
  <c r="I19" i="2"/>
  <c r="J19" i="2"/>
  <c r="K19" i="2"/>
  <c r="L19" i="2"/>
  <c r="M19" i="2"/>
  <c r="N19" i="2"/>
  <c r="O19" i="2"/>
  <c r="P19" i="2"/>
  <c r="Q19" i="2"/>
  <c r="R19" i="2"/>
  <c r="S19" i="2"/>
  <c r="T19" i="2"/>
  <c r="U19" i="2"/>
  <c r="V19" i="2"/>
  <c r="W19" i="2"/>
  <c r="X19" i="2"/>
  <c r="Y19" i="2"/>
  <c r="Z19" i="2"/>
  <c r="AA19" i="2"/>
  <c r="AB19" i="2"/>
  <c r="AC19" i="2"/>
  <c r="AD19" i="2"/>
  <c r="AE19" i="2"/>
  <c r="AF19" i="2"/>
  <c r="AG19" i="2"/>
  <c r="AH19" i="2"/>
  <c r="AI19" i="2"/>
  <c r="AJ19" i="2"/>
  <c r="AK19" i="2"/>
  <c r="AL19" i="2"/>
  <c r="AM19" i="2"/>
  <c r="AN19" i="2"/>
  <c r="AO19" i="2"/>
  <c r="AP19" i="2"/>
  <c r="AQ19" i="2"/>
  <c r="AR19" i="2"/>
  <c r="AS19" i="2"/>
  <c r="AT19" i="2"/>
  <c r="AU19" i="2"/>
  <c r="AV19" i="2"/>
  <c r="AW19" i="2"/>
  <c r="AX19" i="2"/>
  <c r="AY19" i="2"/>
  <c r="AZ19" i="2"/>
  <c r="BA19" i="2"/>
  <c r="BB19" i="2"/>
  <c r="BC19" i="2"/>
  <c r="BD19" i="2"/>
  <c r="BE19" i="2"/>
  <c r="BF19" i="2"/>
  <c r="BG19" i="2"/>
  <c r="BH19" i="2"/>
  <c r="BI19" i="2"/>
  <c r="BJ19" i="2"/>
  <c r="BK19" i="2"/>
  <c r="BL19" i="2"/>
  <c r="BM19" i="2"/>
  <c r="BN19" i="2"/>
  <c r="BO19" i="2"/>
  <c r="BP19" i="2"/>
  <c r="BQ19" i="2"/>
  <c r="BR19" i="2"/>
  <c r="BS19" i="2"/>
  <c r="BT19" i="2"/>
  <c r="BU19" i="2"/>
  <c r="BV19" i="2"/>
  <c r="BW19" i="2"/>
  <c r="BX19" i="2"/>
  <c r="BY19" i="2"/>
  <c r="BZ19" i="2"/>
  <c r="CA19" i="2"/>
  <c r="CB19" i="2"/>
  <c r="CC19" i="2"/>
  <c r="CD19" i="2"/>
  <c r="CE19" i="2"/>
  <c r="CF19" i="2"/>
  <c r="CG19" i="2"/>
  <c r="CH19" i="2"/>
  <c r="CI19" i="2"/>
  <c r="CJ19" i="2"/>
  <c r="CK19" i="2"/>
  <c r="CL19" i="2"/>
  <c r="C20" i="2"/>
  <c r="D20" i="2"/>
  <c r="E20" i="2"/>
  <c r="F20" i="2"/>
  <c r="G20" i="2"/>
  <c r="H20" i="2"/>
  <c r="I20" i="2"/>
  <c r="J20" i="2"/>
  <c r="K20" i="2"/>
  <c r="L20" i="2"/>
  <c r="M20" i="2"/>
  <c r="N20" i="2"/>
  <c r="O20" i="2"/>
  <c r="P20" i="2"/>
  <c r="Q20" i="2"/>
  <c r="R20" i="2"/>
  <c r="S20" i="2"/>
  <c r="T20" i="2"/>
  <c r="U20" i="2"/>
  <c r="V20" i="2"/>
  <c r="W20" i="2"/>
  <c r="X20" i="2"/>
  <c r="Y20" i="2"/>
  <c r="Z20" i="2"/>
  <c r="AA20" i="2"/>
  <c r="AB20" i="2"/>
  <c r="AC20" i="2"/>
  <c r="AD20" i="2"/>
  <c r="AE20" i="2"/>
  <c r="AF20" i="2"/>
  <c r="AG20" i="2"/>
  <c r="AH20" i="2"/>
  <c r="AI20" i="2"/>
  <c r="AJ20" i="2"/>
  <c r="AK20" i="2"/>
  <c r="AL20" i="2"/>
  <c r="AM20" i="2"/>
  <c r="AN20" i="2"/>
  <c r="AO20" i="2"/>
  <c r="AP20" i="2"/>
  <c r="AQ20" i="2"/>
  <c r="AR20" i="2"/>
  <c r="AS20" i="2"/>
  <c r="AT20" i="2"/>
  <c r="AU20" i="2"/>
  <c r="AV20" i="2"/>
  <c r="AW20" i="2"/>
  <c r="AX20" i="2"/>
  <c r="AY20" i="2"/>
  <c r="AZ20" i="2"/>
  <c r="BA20" i="2"/>
  <c r="BB20" i="2"/>
  <c r="BC20" i="2"/>
  <c r="BD20" i="2"/>
  <c r="BE20" i="2"/>
  <c r="BF20" i="2"/>
  <c r="BG20" i="2"/>
  <c r="BH20" i="2"/>
  <c r="BI20" i="2"/>
  <c r="BJ20" i="2"/>
  <c r="BK20" i="2"/>
  <c r="BL20" i="2"/>
  <c r="BM20" i="2"/>
  <c r="BN20" i="2"/>
  <c r="BO20" i="2"/>
  <c r="BP20" i="2"/>
  <c r="BQ20" i="2"/>
  <c r="BR20" i="2"/>
  <c r="BS20" i="2"/>
  <c r="BT20" i="2"/>
  <c r="BU20" i="2"/>
  <c r="BV20" i="2"/>
  <c r="BW20" i="2"/>
  <c r="BX20" i="2"/>
  <c r="BY20" i="2"/>
  <c r="BZ20" i="2"/>
  <c r="CA20" i="2"/>
  <c r="CB20" i="2"/>
  <c r="CC20" i="2"/>
  <c r="CD20" i="2"/>
  <c r="CE20" i="2"/>
  <c r="CF20" i="2"/>
  <c r="CG20" i="2"/>
  <c r="CH20" i="2"/>
  <c r="CI20" i="2"/>
  <c r="CJ20" i="2"/>
  <c r="CK20" i="2"/>
  <c r="CL20" i="2"/>
  <c r="C21" i="2"/>
  <c r="D21" i="2"/>
  <c r="E21" i="2"/>
  <c r="F21" i="2"/>
  <c r="G21" i="2"/>
  <c r="H21" i="2"/>
  <c r="I21" i="2"/>
  <c r="J21" i="2"/>
  <c r="K21" i="2"/>
  <c r="L21" i="2"/>
  <c r="M21" i="2"/>
  <c r="N21" i="2"/>
  <c r="O21" i="2"/>
  <c r="P21" i="2"/>
  <c r="Q21" i="2"/>
  <c r="R21" i="2"/>
  <c r="S21" i="2"/>
  <c r="T21" i="2"/>
  <c r="U21" i="2"/>
  <c r="V21" i="2"/>
  <c r="W21" i="2"/>
  <c r="X21" i="2"/>
  <c r="Y21" i="2"/>
  <c r="Z21" i="2"/>
  <c r="AA21" i="2"/>
  <c r="AB21" i="2"/>
  <c r="AC21" i="2"/>
  <c r="AD21" i="2"/>
  <c r="AE21" i="2"/>
  <c r="AF21" i="2"/>
  <c r="AG21" i="2"/>
  <c r="AH21" i="2"/>
  <c r="AI21" i="2"/>
  <c r="AJ21" i="2"/>
  <c r="AK21" i="2"/>
  <c r="AL21" i="2"/>
  <c r="AM21" i="2"/>
  <c r="AN21" i="2"/>
  <c r="AO21" i="2"/>
  <c r="AP21" i="2"/>
  <c r="AQ21" i="2"/>
  <c r="AR21" i="2"/>
  <c r="AS21" i="2"/>
  <c r="AT21" i="2"/>
  <c r="AU21" i="2"/>
  <c r="AV21" i="2"/>
  <c r="AW21" i="2"/>
  <c r="AX21" i="2"/>
  <c r="AY21" i="2"/>
  <c r="AZ21" i="2"/>
  <c r="BA21" i="2"/>
  <c r="BB21" i="2"/>
  <c r="BC21" i="2"/>
  <c r="BD21" i="2"/>
  <c r="BE21" i="2"/>
  <c r="BF21" i="2"/>
  <c r="BG21" i="2"/>
  <c r="BH21" i="2"/>
  <c r="BI21" i="2"/>
  <c r="BJ21" i="2"/>
  <c r="BK21" i="2"/>
  <c r="BL21" i="2"/>
  <c r="BM21" i="2"/>
  <c r="BN21" i="2"/>
  <c r="BO21" i="2"/>
  <c r="BP21" i="2"/>
  <c r="BQ21" i="2"/>
  <c r="BR21" i="2"/>
  <c r="BS21" i="2"/>
  <c r="BT21" i="2"/>
  <c r="BU21" i="2"/>
  <c r="BV21" i="2"/>
  <c r="BW21" i="2"/>
  <c r="BX21" i="2"/>
  <c r="BY21" i="2"/>
  <c r="BZ21" i="2"/>
  <c r="CA21" i="2"/>
  <c r="CB21" i="2"/>
  <c r="CC21" i="2"/>
  <c r="CD21" i="2"/>
  <c r="CE21" i="2"/>
  <c r="CF21" i="2"/>
  <c r="CG21" i="2"/>
  <c r="CH21" i="2"/>
  <c r="CI21" i="2"/>
  <c r="CJ21" i="2"/>
  <c r="CK21" i="2"/>
  <c r="CL21" i="2"/>
  <c r="C22" i="2"/>
  <c r="D22" i="2"/>
  <c r="E22" i="2"/>
  <c r="F22" i="2"/>
  <c r="G22" i="2"/>
  <c r="H22" i="2"/>
  <c r="I22" i="2"/>
  <c r="J22" i="2"/>
  <c r="K22" i="2"/>
  <c r="L22" i="2"/>
  <c r="M22" i="2"/>
  <c r="N22" i="2"/>
  <c r="O22" i="2"/>
  <c r="P22" i="2"/>
  <c r="Q22" i="2"/>
  <c r="R22" i="2"/>
  <c r="S22" i="2"/>
  <c r="T22" i="2"/>
  <c r="U22" i="2"/>
  <c r="V22" i="2"/>
  <c r="W22" i="2"/>
  <c r="X22" i="2"/>
  <c r="Y22" i="2"/>
  <c r="Z22" i="2"/>
  <c r="AA22" i="2"/>
  <c r="AB22" i="2"/>
  <c r="AC22" i="2"/>
  <c r="AD22" i="2"/>
  <c r="AE22" i="2"/>
  <c r="AF22" i="2"/>
  <c r="AG22" i="2"/>
  <c r="AH22" i="2"/>
  <c r="AI22" i="2"/>
  <c r="AJ22" i="2"/>
  <c r="AK22" i="2"/>
  <c r="AL22" i="2"/>
  <c r="AM22" i="2"/>
  <c r="AN22" i="2"/>
  <c r="AO22" i="2"/>
  <c r="AP22" i="2"/>
  <c r="AQ22" i="2"/>
  <c r="AR22" i="2"/>
  <c r="AS22" i="2"/>
  <c r="AT22" i="2"/>
  <c r="AU22" i="2"/>
  <c r="AV22" i="2"/>
  <c r="AW22" i="2"/>
  <c r="AX22" i="2"/>
  <c r="AY22" i="2"/>
  <c r="AZ22" i="2"/>
  <c r="BA22" i="2"/>
  <c r="BB22" i="2"/>
  <c r="BC22" i="2"/>
  <c r="BD22" i="2"/>
  <c r="BE22" i="2"/>
  <c r="BF22" i="2"/>
  <c r="BG22" i="2"/>
  <c r="BH22" i="2"/>
  <c r="BI22" i="2"/>
  <c r="BJ22" i="2"/>
  <c r="BK22" i="2"/>
  <c r="BL22" i="2"/>
  <c r="BM22" i="2"/>
  <c r="BN22" i="2"/>
  <c r="BO22" i="2"/>
  <c r="BP22" i="2"/>
  <c r="BQ22" i="2"/>
  <c r="BR22" i="2"/>
  <c r="BS22" i="2"/>
  <c r="BT22" i="2"/>
  <c r="BU22" i="2"/>
  <c r="BV22" i="2"/>
  <c r="BW22" i="2"/>
  <c r="BX22" i="2"/>
  <c r="BY22" i="2"/>
  <c r="BZ22" i="2"/>
  <c r="CA22" i="2"/>
  <c r="CB22" i="2"/>
  <c r="CC22" i="2"/>
  <c r="CD22" i="2"/>
  <c r="CE22" i="2"/>
  <c r="CF22" i="2"/>
  <c r="CG22" i="2"/>
  <c r="CH22" i="2"/>
  <c r="CI22" i="2"/>
  <c r="CJ22" i="2"/>
  <c r="CK22" i="2"/>
  <c r="CL22" i="2"/>
  <c r="C23" i="2"/>
  <c r="D23" i="2"/>
  <c r="E23" i="2"/>
  <c r="F23" i="2"/>
  <c r="G23" i="2"/>
  <c r="H23" i="2"/>
  <c r="I23" i="2"/>
  <c r="J23" i="2"/>
  <c r="K23" i="2"/>
  <c r="L23" i="2"/>
  <c r="M23" i="2"/>
  <c r="N23" i="2"/>
  <c r="O23" i="2"/>
  <c r="P23" i="2"/>
  <c r="Q23" i="2"/>
  <c r="R23" i="2"/>
  <c r="S23" i="2"/>
  <c r="T23" i="2"/>
  <c r="U23" i="2"/>
  <c r="V23" i="2"/>
  <c r="W23" i="2"/>
  <c r="X23" i="2"/>
  <c r="Y23" i="2"/>
  <c r="Z23" i="2"/>
  <c r="AA23" i="2"/>
  <c r="AB23" i="2"/>
  <c r="AC23" i="2"/>
  <c r="AD23" i="2"/>
  <c r="AE23" i="2"/>
  <c r="AF23" i="2"/>
  <c r="AG23" i="2"/>
  <c r="AH23" i="2"/>
  <c r="AI23" i="2"/>
  <c r="AJ23" i="2"/>
  <c r="AK23" i="2"/>
  <c r="AL23" i="2"/>
  <c r="AM23" i="2"/>
  <c r="AN23" i="2"/>
  <c r="AO23" i="2"/>
  <c r="AP23" i="2"/>
  <c r="AQ23" i="2"/>
  <c r="AR23" i="2"/>
  <c r="AS23" i="2"/>
  <c r="AT23" i="2"/>
  <c r="AU23" i="2"/>
  <c r="AV23" i="2"/>
  <c r="AW23" i="2"/>
  <c r="AX23" i="2"/>
  <c r="AY23" i="2"/>
  <c r="AZ23" i="2"/>
  <c r="BA23" i="2"/>
  <c r="BB23" i="2"/>
  <c r="BC23" i="2"/>
  <c r="BD23" i="2"/>
  <c r="BE23" i="2"/>
  <c r="BF23" i="2"/>
  <c r="BG23" i="2"/>
  <c r="BH23" i="2"/>
  <c r="BI23" i="2"/>
  <c r="BJ23" i="2"/>
  <c r="BK23" i="2"/>
  <c r="BL23" i="2"/>
  <c r="BM23" i="2"/>
  <c r="BN23" i="2"/>
  <c r="BO23" i="2"/>
  <c r="BP23" i="2"/>
  <c r="BQ23" i="2"/>
  <c r="BR23" i="2"/>
  <c r="BS23" i="2"/>
  <c r="BT23" i="2"/>
  <c r="BU23" i="2"/>
  <c r="BV23" i="2"/>
  <c r="BW23" i="2"/>
  <c r="BX23" i="2"/>
  <c r="BY23" i="2"/>
  <c r="BZ23" i="2"/>
  <c r="CA23" i="2"/>
  <c r="CB23" i="2"/>
  <c r="CC23" i="2"/>
  <c r="CD23" i="2"/>
  <c r="CE23" i="2"/>
  <c r="CF23" i="2"/>
  <c r="CG23" i="2"/>
  <c r="CH23" i="2"/>
  <c r="CI23" i="2"/>
  <c r="CJ23" i="2"/>
  <c r="CK23" i="2"/>
  <c r="CL23" i="2"/>
  <c r="C24" i="2"/>
  <c r="D24" i="2"/>
  <c r="E24" i="2"/>
  <c r="F24" i="2"/>
  <c r="G24" i="2"/>
  <c r="H24" i="2"/>
  <c r="I24" i="2"/>
  <c r="J24" i="2"/>
  <c r="K24" i="2"/>
  <c r="L24" i="2"/>
  <c r="M24" i="2"/>
  <c r="N24" i="2"/>
  <c r="O24" i="2"/>
  <c r="P24" i="2"/>
  <c r="Q24" i="2"/>
  <c r="R24" i="2"/>
  <c r="S24" i="2"/>
  <c r="T24" i="2"/>
  <c r="U24" i="2"/>
  <c r="V24" i="2"/>
  <c r="W24" i="2"/>
  <c r="X24" i="2"/>
  <c r="Y24" i="2"/>
  <c r="Z24" i="2"/>
  <c r="AA24" i="2"/>
  <c r="AB24" i="2"/>
  <c r="AC24" i="2"/>
  <c r="AD24" i="2"/>
  <c r="AE24" i="2"/>
  <c r="AF24" i="2"/>
  <c r="AG24" i="2"/>
  <c r="AH24" i="2"/>
  <c r="AI24" i="2"/>
  <c r="AJ24" i="2"/>
  <c r="AK24" i="2"/>
  <c r="AL24" i="2"/>
  <c r="AM24" i="2"/>
  <c r="AN24" i="2"/>
  <c r="AO24" i="2"/>
  <c r="AP24" i="2"/>
  <c r="AQ24" i="2"/>
  <c r="AR24" i="2"/>
  <c r="AS24" i="2"/>
  <c r="AT24" i="2"/>
  <c r="AU24" i="2"/>
  <c r="AV24" i="2"/>
  <c r="AW24" i="2"/>
  <c r="AX24" i="2"/>
  <c r="AY24" i="2"/>
  <c r="AZ24" i="2"/>
  <c r="BA24" i="2"/>
  <c r="BB24" i="2"/>
  <c r="BC24" i="2"/>
  <c r="BD24" i="2"/>
  <c r="BE24" i="2"/>
  <c r="BF24" i="2"/>
  <c r="BG24" i="2"/>
  <c r="BH24" i="2"/>
  <c r="BI24" i="2"/>
  <c r="BJ24" i="2"/>
  <c r="BK24" i="2"/>
  <c r="BL24" i="2"/>
  <c r="BM24" i="2"/>
  <c r="BN24" i="2"/>
  <c r="BO24" i="2"/>
  <c r="BP24" i="2"/>
  <c r="BQ24" i="2"/>
  <c r="BR24" i="2"/>
  <c r="BS24" i="2"/>
  <c r="BT24" i="2"/>
  <c r="BU24" i="2"/>
  <c r="BV24" i="2"/>
  <c r="BW24" i="2"/>
  <c r="BX24" i="2"/>
  <c r="BY24" i="2"/>
  <c r="BZ24" i="2"/>
  <c r="CA24" i="2"/>
  <c r="CB24" i="2"/>
  <c r="CC24" i="2"/>
  <c r="CD24" i="2"/>
  <c r="CE24" i="2"/>
  <c r="CF24" i="2"/>
  <c r="CG24" i="2"/>
  <c r="CH24" i="2"/>
  <c r="CI24" i="2"/>
  <c r="CJ24" i="2"/>
  <c r="CK24" i="2"/>
  <c r="CL24" i="2"/>
  <c r="C25" i="2"/>
  <c r="D25" i="2"/>
  <c r="E25" i="2"/>
  <c r="F25" i="2"/>
  <c r="G25" i="2"/>
  <c r="H25" i="2"/>
  <c r="I25" i="2"/>
  <c r="J25" i="2"/>
  <c r="K25" i="2"/>
  <c r="L25" i="2"/>
  <c r="M25" i="2"/>
  <c r="N25" i="2"/>
  <c r="O25" i="2"/>
  <c r="P25" i="2"/>
  <c r="Q25" i="2"/>
  <c r="R25" i="2"/>
  <c r="S25" i="2"/>
  <c r="T25" i="2"/>
  <c r="U25" i="2"/>
  <c r="V25" i="2"/>
  <c r="W25" i="2"/>
  <c r="X25" i="2"/>
  <c r="Y25" i="2"/>
  <c r="Z25" i="2"/>
  <c r="AA25" i="2"/>
  <c r="AB25" i="2"/>
  <c r="AC25" i="2"/>
  <c r="AD25" i="2"/>
  <c r="AE25" i="2"/>
  <c r="AF25" i="2"/>
  <c r="AG25" i="2"/>
  <c r="AH25" i="2"/>
  <c r="AI25" i="2"/>
  <c r="AJ25" i="2"/>
  <c r="AK25" i="2"/>
  <c r="AL25" i="2"/>
  <c r="AM25" i="2"/>
  <c r="AN25" i="2"/>
  <c r="AO25" i="2"/>
  <c r="AP25" i="2"/>
  <c r="AQ25" i="2"/>
  <c r="AR25" i="2"/>
  <c r="AS25" i="2"/>
  <c r="AT25" i="2"/>
  <c r="AU25" i="2"/>
  <c r="AV25" i="2"/>
  <c r="AW25" i="2"/>
  <c r="AX25" i="2"/>
  <c r="AY25" i="2"/>
  <c r="AZ25" i="2"/>
  <c r="BA25" i="2"/>
  <c r="BB25" i="2"/>
  <c r="BC25" i="2"/>
  <c r="BD25" i="2"/>
  <c r="BE25" i="2"/>
  <c r="BF25" i="2"/>
  <c r="BG25" i="2"/>
  <c r="BH25" i="2"/>
  <c r="BI25" i="2"/>
  <c r="BJ25" i="2"/>
  <c r="BK25" i="2"/>
  <c r="BL25" i="2"/>
  <c r="BM25" i="2"/>
  <c r="BN25" i="2"/>
  <c r="BO25" i="2"/>
  <c r="BP25" i="2"/>
  <c r="BQ25" i="2"/>
  <c r="BR25" i="2"/>
  <c r="BS25" i="2"/>
  <c r="BT25" i="2"/>
  <c r="BU25" i="2"/>
  <c r="BV25" i="2"/>
  <c r="BW25" i="2"/>
  <c r="BX25" i="2"/>
  <c r="BY25" i="2"/>
  <c r="BZ25" i="2"/>
  <c r="CA25" i="2"/>
  <c r="CB25" i="2"/>
  <c r="CC25" i="2"/>
  <c r="CD25" i="2"/>
  <c r="CE25" i="2"/>
  <c r="CF25" i="2"/>
  <c r="CG25" i="2"/>
  <c r="CH25" i="2"/>
  <c r="CI25" i="2"/>
  <c r="CJ25" i="2"/>
  <c r="CK25" i="2"/>
  <c r="CL25" i="2"/>
  <c r="C26" i="2"/>
  <c r="D26" i="2"/>
  <c r="E26" i="2"/>
  <c r="F26" i="2"/>
  <c r="G26" i="2"/>
  <c r="H26" i="2"/>
  <c r="I26" i="2"/>
  <c r="J26" i="2"/>
  <c r="K26" i="2"/>
  <c r="L26" i="2"/>
  <c r="M26" i="2"/>
  <c r="N26" i="2"/>
  <c r="O26" i="2"/>
  <c r="P26" i="2"/>
  <c r="Q26" i="2"/>
  <c r="R26" i="2"/>
  <c r="S26" i="2"/>
  <c r="T26" i="2"/>
  <c r="U26" i="2"/>
  <c r="V26" i="2"/>
  <c r="W26" i="2"/>
  <c r="X26" i="2"/>
  <c r="Y26" i="2"/>
  <c r="Z26" i="2"/>
  <c r="AA26" i="2"/>
  <c r="AB26" i="2"/>
  <c r="AC26" i="2"/>
  <c r="AD26" i="2"/>
  <c r="AE26" i="2"/>
  <c r="AF26" i="2"/>
  <c r="AG26" i="2"/>
  <c r="AH26" i="2"/>
  <c r="AI26" i="2"/>
  <c r="AJ26" i="2"/>
  <c r="AK26" i="2"/>
  <c r="AL26" i="2"/>
  <c r="AM26" i="2"/>
  <c r="AN26" i="2"/>
  <c r="AO26" i="2"/>
  <c r="AP26" i="2"/>
  <c r="AQ26" i="2"/>
  <c r="AR26" i="2"/>
  <c r="AS26" i="2"/>
  <c r="AT26" i="2"/>
  <c r="AU26" i="2"/>
  <c r="AV26" i="2"/>
  <c r="AW26" i="2"/>
  <c r="AX26" i="2"/>
  <c r="AY26" i="2"/>
  <c r="AZ26" i="2"/>
  <c r="BA26" i="2"/>
  <c r="BB26" i="2"/>
  <c r="BC26" i="2"/>
  <c r="BD26" i="2"/>
  <c r="BE26" i="2"/>
  <c r="BF26" i="2"/>
  <c r="BG26" i="2"/>
  <c r="BH26" i="2"/>
  <c r="BI26" i="2"/>
  <c r="BJ26" i="2"/>
  <c r="BK26" i="2"/>
  <c r="BL26" i="2"/>
  <c r="BM26" i="2"/>
  <c r="BN26" i="2"/>
  <c r="BO26" i="2"/>
  <c r="BP26" i="2"/>
  <c r="BQ26" i="2"/>
  <c r="BR26" i="2"/>
  <c r="BS26" i="2"/>
  <c r="BT26" i="2"/>
  <c r="BU26" i="2"/>
  <c r="BV26" i="2"/>
  <c r="BW26" i="2"/>
  <c r="BX26" i="2"/>
  <c r="BY26" i="2"/>
  <c r="BZ26" i="2"/>
  <c r="CA26" i="2"/>
  <c r="CB26" i="2"/>
  <c r="CC26" i="2"/>
  <c r="CD26" i="2"/>
  <c r="CE26" i="2"/>
  <c r="CF26" i="2"/>
  <c r="CG26" i="2"/>
  <c r="CH26" i="2"/>
  <c r="CI26" i="2"/>
  <c r="CJ26" i="2"/>
  <c r="CK26" i="2"/>
  <c r="CL26" i="2"/>
  <c r="C27" i="2"/>
  <c r="D27" i="2"/>
  <c r="E27" i="2"/>
  <c r="F27" i="2"/>
  <c r="G27" i="2"/>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CE27" i="2"/>
  <c r="CF27" i="2"/>
  <c r="CG27" i="2"/>
  <c r="CH27" i="2"/>
  <c r="CI27" i="2"/>
  <c r="CJ27" i="2"/>
  <c r="CK27" i="2"/>
  <c r="CL27" i="2"/>
  <c r="C28" i="2"/>
  <c r="D28" i="2"/>
  <c r="E28" i="2"/>
  <c r="F28" i="2"/>
  <c r="G28" i="2"/>
  <c r="H28" i="2"/>
  <c r="I28" i="2"/>
  <c r="J28" i="2"/>
  <c r="K28" i="2"/>
  <c r="L28" i="2"/>
  <c r="M28" i="2"/>
  <c r="N28" i="2"/>
  <c r="O28" i="2"/>
  <c r="P28" i="2"/>
  <c r="Q28" i="2"/>
  <c r="R28" i="2"/>
  <c r="S28" i="2"/>
  <c r="T28" i="2"/>
  <c r="U28" i="2"/>
  <c r="V28" i="2"/>
  <c r="W28" i="2"/>
  <c r="X28" i="2"/>
  <c r="Y28" i="2"/>
  <c r="Z28" i="2"/>
  <c r="AA28" i="2"/>
  <c r="AB28" i="2"/>
  <c r="AC28" i="2"/>
  <c r="AD28" i="2"/>
  <c r="AE28" i="2"/>
  <c r="AF28" i="2"/>
  <c r="AG28" i="2"/>
  <c r="AH28" i="2"/>
  <c r="AI28" i="2"/>
  <c r="AJ28" i="2"/>
  <c r="AK28" i="2"/>
  <c r="AL28" i="2"/>
  <c r="AM28" i="2"/>
  <c r="AN28" i="2"/>
  <c r="AO28" i="2"/>
  <c r="AP28" i="2"/>
  <c r="AQ28" i="2"/>
  <c r="AR28" i="2"/>
  <c r="AS28" i="2"/>
  <c r="AT28" i="2"/>
  <c r="AU28" i="2"/>
  <c r="AV28" i="2"/>
  <c r="AW28" i="2"/>
  <c r="AX28" i="2"/>
  <c r="AY28" i="2"/>
  <c r="AZ28" i="2"/>
  <c r="BA28" i="2"/>
  <c r="BB28" i="2"/>
  <c r="BC28" i="2"/>
  <c r="BD28" i="2"/>
  <c r="BE28" i="2"/>
  <c r="BF28" i="2"/>
  <c r="BG28" i="2"/>
  <c r="BH28" i="2"/>
  <c r="BI28" i="2"/>
  <c r="BJ28" i="2"/>
  <c r="BK28" i="2"/>
  <c r="BL28" i="2"/>
  <c r="BM28" i="2"/>
  <c r="BN28" i="2"/>
  <c r="BO28" i="2"/>
  <c r="BP28" i="2"/>
  <c r="BQ28" i="2"/>
  <c r="BR28" i="2"/>
  <c r="BS28" i="2"/>
  <c r="BT28" i="2"/>
  <c r="BU28" i="2"/>
  <c r="BV28" i="2"/>
  <c r="BW28" i="2"/>
  <c r="BX28" i="2"/>
  <c r="BY28" i="2"/>
  <c r="BZ28" i="2"/>
  <c r="CA28" i="2"/>
  <c r="CB28" i="2"/>
  <c r="CC28" i="2"/>
  <c r="CD28" i="2"/>
  <c r="CE28" i="2"/>
  <c r="CF28" i="2"/>
  <c r="CG28" i="2"/>
  <c r="CH28" i="2"/>
  <c r="CI28" i="2"/>
  <c r="CJ28" i="2"/>
  <c r="CK28" i="2"/>
  <c r="CL28" i="2"/>
  <c r="C29" i="2"/>
  <c r="D29" i="2"/>
  <c r="E29" i="2"/>
  <c r="F29" i="2"/>
  <c r="G29" i="2"/>
  <c r="H29" i="2"/>
  <c r="I29" i="2"/>
  <c r="J29" i="2"/>
  <c r="K29" i="2"/>
  <c r="L29" i="2"/>
  <c r="M29" i="2"/>
  <c r="N29" i="2"/>
  <c r="O29" i="2"/>
  <c r="P29" i="2"/>
  <c r="Q29" i="2"/>
  <c r="R29" i="2"/>
  <c r="S29" i="2"/>
  <c r="T29" i="2"/>
  <c r="U29" i="2"/>
  <c r="V29" i="2"/>
  <c r="W29" i="2"/>
  <c r="X29" i="2"/>
  <c r="Y29" i="2"/>
  <c r="Z29" i="2"/>
  <c r="AA29" i="2"/>
  <c r="AB29" i="2"/>
  <c r="AC29" i="2"/>
  <c r="AD29" i="2"/>
  <c r="AE29" i="2"/>
  <c r="AF29" i="2"/>
  <c r="AG29" i="2"/>
  <c r="AH29" i="2"/>
  <c r="AI29" i="2"/>
  <c r="AJ29" i="2"/>
  <c r="AK29" i="2"/>
  <c r="AL29" i="2"/>
  <c r="AM29" i="2"/>
  <c r="AN29" i="2"/>
  <c r="AO29" i="2"/>
  <c r="AP29" i="2"/>
  <c r="AQ29" i="2"/>
  <c r="AR29" i="2"/>
  <c r="AS29" i="2"/>
  <c r="AT29" i="2"/>
  <c r="AU29" i="2"/>
  <c r="AV29" i="2"/>
  <c r="AW29" i="2"/>
  <c r="AX29" i="2"/>
  <c r="AY29" i="2"/>
  <c r="AZ29" i="2"/>
  <c r="BA29" i="2"/>
  <c r="BB29" i="2"/>
  <c r="BC29" i="2"/>
  <c r="BD29" i="2"/>
  <c r="BE29" i="2"/>
  <c r="BF29" i="2"/>
  <c r="BG29" i="2"/>
  <c r="BH29" i="2"/>
  <c r="BI29" i="2"/>
  <c r="BJ29" i="2"/>
  <c r="BK29" i="2"/>
  <c r="BL29" i="2"/>
  <c r="BM29" i="2"/>
  <c r="BN29" i="2"/>
  <c r="BO29" i="2"/>
  <c r="BP29" i="2"/>
  <c r="BQ29" i="2"/>
  <c r="BR29" i="2"/>
  <c r="BS29" i="2"/>
  <c r="BT29" i="2"/>
  <c r="BU29" i="2"/>
  <c r="BV29" i="2"/>
  <c r="BW29" i="2"/>
  <c r="BX29" i="2"/>
  <c r="BY29" i="2"/>
  <c r="BZ29" i="2"/>
  <c r="CA29" i="2"/>
  <c r="CB29" i="2"/>
  <c r="CC29" i="2"/>
  <c r="CD29" i="2"/>
  <c r="CE29" i="2"/>
  <c r="CF29" i="2"/>
  <c r="CG29" i="2"/>
  <c r="CH29" i="2"/>
  <c r="CI29" i="2"/>
  <c r="CJ29" i="2"/>
  <c r="CK29" i="2"/>
  <c r="CL29" i="2"/>
  <c r="C30" i="2"/>
  <c r="D30" i="2"/>
  <c r="E30" i="2"/>
  <c r="F30" i="2"/>
  <c r="G30" i="2"/>
  <c r="H30" i="2"/>
  <c r="I30" i="2"/>
  <c r="J30" i="2"/>
  <c r="K30" i="2"/>
  <c r="L30" i="2"/>
  <c r="M30" i="2"/>
  <c r="N30" i="2"/>
  <c r="O30" i="2"/>
  <c r="P30" i="2"/>
  <c r="Q30" i="2"/>
  <c r="R30" i="2"/>
  <c r="S30" i="2"/>
  <c r="T30" i="2"/>
  <c r="U30" i="2"/>
  <c r="V30" i="2"/>
  <c r="W30" i="2"/>
  <c r="X30" i="2"/>
  <c r="Y30" i="2"/>
  <c r="Z30" i="2"/>
  <c r="AA30" i="2"/>
  <c r="AB30" i="2"/>
  <c r="AC30" i="2"/>
  <c r="AD30" i="2"/>
  <c r="AE30" i="2"/>
  <c r="AF30" i="2"/>
  <c r="AG30" i="2"/>
  <c r="AH30" i="2"/>
  <c r="AI30" i="2"/>
  <c r="AJ30" i="2"/>
  <c r="AK30" i="2"/>
  <c r="AL30" i="2"/>
  <c r="AM30" i="2"/>
  <c r="AN30" i="2"/>
  <c r="AO30" i="2"/>
  <c r="AP30" i="2"/>
  <c r="AQ30" i="2"/>
  <c r="AR30" i="2"/>
  <c r="AS30" i="2"/>
  <c r="AT30" i="2"/>
  <c r="AU30" i="2"/>
  <c r="AV30" i="2"/>
  <c r="AW30" i="2"/>
  <c r="AX30" i="2"/>
  <c r="AY30" i="2"/>
  <c r="AZ30" i="2"/>
  <c r="BA30" i="2"/>
  <c r="BB30" i="2"/>
  <c r="BC30" i="2"/>
  <c r="BD30" i="2"/>
  <c r="BE30" i="2"/>
  <c r="BF30" i="2"/>
  <c r="BG30" i="2"/>
  <c r="BH30" i="2"/>
  <c r="BI30" i="2"/>
  <c r="BJ30" i="2"/>
  <c r="BK30" i="2"/>
  <c r="BL30" i="2"/>
  <c r="BM30" i="2"/>
  <c r="BN30" i="2"/>
  <c r="BO30" i="2"/>
  <c r="BP30" i="2"/>
  <c r="BQ30" i="2"/>
  <c r="BR30" i="2"/>
  <c r="BS30" i="2"/>
  <c r="BT30" i="2"/>
  <c r="BU30" i="2"/>
  <c r="BV30" i="2"/>
  <c r="BW30" i="2"/>
  <c r="BX30" i="2"/>
  <c r="BY30" i="2"/>
  <c r="BZ30" i="2"/>
  <c r="CA30" i="2"/>
  <c r="CB30" i="2"/>
  <c r="CC30" i="2"/>
  <c r="CD30" i="2"/>
  <c r="CE30" i="2"/>
  <c r="CF30" i="2"/>
  <c r="CG30" i="2"/>
  <c r="CH30" i="2"/>
  <c r="CI30" i="2"/>
  <c r="CJ30" i="2"/>
  <c r="CK30" i="2"/>
  <c r="CL30" i="2"/>
  <c r="C31" i="2"/>
  <c r="D31" i="2"/>
  <c r="E31" i="2"/>
  <c r="F31" i="2"/>
  <c r="G31" i="2"/>
  <c r="H31" i="2"/>
  <c r="I31" i="2"/>
  <c r="J31" i="2"/>
  <c r="K31" i="2"/>
  <c r="L31" i="2"/>
  <c r="M31" i="2"/>
  <c r="N31" i="2"/>
  <c r="O31" i="2"/>
  <c r="P31" i="2"/>
  <c r="Q31" i="2"/>
  <c r="R31" i="2"/>
  <c r="S31" i="2"/>
  <c r="T31" i="2"/>
  <c r="U31" i="2"/>
  <c r="V31" i="2"/>
  <c r="W31" i="2"/>
  <c r="X31" i="2"/>
  <c r="Y31" i="2"/>
  <c r="Z31" i="2"/>
  <c r="AA31" i="2"/>
  <c r="AB31" i="2"/>
  <c r="AC31" i="2"/>
  <c r="AD31" i="2"/>
  <c r="AE31" i="2"/>
  <c r="AF31" i="2"/>
  <c r="AG31" i="2"/>
  <c r="AH31" i="2"/>
  <c r="AI31" i="2"/>
  <c r="AJ31" i="2"/>
  <c r="AK31" i="2"/>
  <c r="AL31" i="2"/>
  <c r="AM31" i="2"/>
  <c r="AN31" i="2"/>
  <c r="AO31" i="2"/>
  <c r="AP31" i="2"/>
  <c r="AQ31" i="2"/>
  <c r="AR31" i="2"/>
  <c r="AS31" i="2"/>
  <c r="AT31" i="2"/>
  <c r="AU31" i="2"/>
  <c r="AV31" i="2"/>
  <c r="AW31" i="2"/>
  <c r="AX31" i="2"/>
  <c r="AY31" i="2"/>
  <c r="AZ31" i="2"/>
  <c r="BA31" i="2"/>
  <c r="BB31" i="2"/>
  <c r="BC31" i="2"/>
  <c r="BD31" i="2"/>
  <c r="BE31" i="2"/>
  <c r="BF31" i="2"/>
  <c r="BG31" i="2"/>
  <c r="BH31" i="2"/>
  <c r="BI31" i="2"/>
  <c r="BJ31" i="2"/>
  <c r="BK31" i="2"/>
  <c r="BL31" i="2"/>
  <c r="BM31" i="2"/>
  <c r="BN31" i="2"/>
  <c r="BO31" i="2"/>
  <c r="BP31" i="2"/>
  <c r="BQ31" i="2"/>
  <c r="BR31" i="2"/>
  <c r="BS31" i="2"/>
  <c r="BT31" i="2"/>
  <c r="BU31" i="2"/>
  <c r="BV31" i="2"/>
  <c r="BW31" i="2"/>
  <c r="BX31" i="2"/>
  <c r="BY31" i="2"/>
  <c r="BZ31" i="2"/>
  <c r="CA31" i="2"/>
  <c r="CB31" i="2"/>
  <c r="CC31" i="2"/>
  <c r="CD31" i="2"/>
  <c r="CE31" i="2"/>
  <c r="CF31" i="2"/>
  <c r="CG31" i="2"/>
  <c r="CH31" i="2"/>
  <c r="CI31" i="2"/>
  <c r="CJ31" i="2"/>
  <c r="CK31" i="2"/>
  <c r="CL31" i="2"/>
  <c r="C32" i="2"/>
  <c r="D32" i="2"/>
  <c r="E32" i="2"/>
  <c r="F32" i="2"/>
  <c r="G32" i="2"/>
  <c r="H32" i="2"/>
  <c r="I32" i="2"/>
  <c r="J32" i="2"/>
  <c r="K32" i="2"/>
  <c r="L32" i="2"/>
  <c r="M32" i="2"/>
  <c r="N32" i="2"/>
  <c r="O32" i="2"/>
  <c r="P32" i="2"/>
  <c r="Q32" i="2"/>
  <c r="R32" i="2"/>
  <c r="S32" i="2"/>
  <c r="T32" i="2"/>
  <c r="U32" i="2"/>
  <c r="V32" i="2"/>
  <c r="W32" i="2"/>
  <c r="X32" i="2"/>
  <c r="Y32" i="2"/>
  <c r="Z32" i="2"/>
  <c r="AA32" i="2"/>
  <c r="AB32" i="2"/>
  <c r="AC32" i="2"/>
  <c r="AD32" i="2"/>
  <c r="AE32" i="2"/>
  <c r="AF32" i="2"/>
  <c r="AG32" i="2"/>
  <c r="AH32" i="2"/>
  <c r="AI32" i="2"/>
  <c r="AJ32" i="2"/>
  <c r="AK32" i="2"/>
  <c r="AL32" i="2"/>
  <c r="AM32" i="2"/>
  <c r="AN32" i="2"/>
  <c r="AO32" i="2"/>
  <c r="AP32" i="2"/>
  <c r="AQ32" i="2"/>
  <c r="AR32" i="2"/>
  <c r="AS32" i="2"/>
  <c r="AT32" i="2"/>
  <c r="AU32" i="2"/>
  <c r="AV32" i="2"/>
  <c r="AW32" i="2"/>
  <c r="AX32" i="2"/>
  <c r="AY32" i="2"/>
  <c r="AZ32" i="2"/>
  <c r="BA32" i="2"/>
  <c r="BB32" i="2"/>
  <c r="BC32" i="2"/>
  <c r="BD32" i="2"/>
  <c r="BE32" i="2"/>
  <c r="BF32" i="2"/>
  <c r="BG32" i="2"/>
  <c r="BH32" i="2"/>
  <c r="BI32" i="2"/>
  <c r="BJ32" i="2"/>
  <c r="BK32" i="2"/>
  <c r="BL32" i="2"/>
  <c r="BM32" i="2"/>
  <c r="BN32" i="2"/>
  <c r="BO32" i="2"/>
  <c r="BP32" i="2"/>
  <c r="BQ32" i="2"/>
  <c r="BR32" i="2"/>
  <c r="BS32" i="2"/>
  <c r="BT32" i="2"/>
  <c r="BU32" i="2"/>
  <c r="BV32" i="2"/>
  <c r="BW32" i="2"/>
  <c r="BX32" i="2"/>
  <c r="BY32" i="2"/>
  <c r="BZ32" i="2"/>
  <c r="CA32" i="2"/>
  <c r="CB32" i="2"/>
  <c r="CC32" i="2"/>
  <c r="CD32" i="2"/>
  <c r="CE32" i="2"/>
  <c r="CF32" i="2"/>
  <c r="CG32" i="2"/>
  <c r="CH32" i="2"/>
  <c r="CI32" i="2"/>
  <c r="CJ32" i="2"/>
  <c r="CK32" i="2"/>
  <c r="CL32" i="2"/>
  <c r="C33" i="2"/>
  <c r="D33" i="2"/>
  <c r="E33" i="2"/>
  <c r="F33" i="2"/>
  <c r="G33" i="2"/>
  <c r="H33" i="2"/>
  <c r="I33" i="2"/>
  <c r="J33" i="2"/>
  <c r="K33" i="2"/>
  <c r="L33" i="2"/>
  <c r="M33" i="2"/>
  <c r="N33" i="2"/>
  <c r="O33" i="2"/>
  <c r="P33" i="2"/>
  <c r="Q33" i="2"/>
  <c r="R33" i="2"/>
  <c r="S33" i="2"/>
  <c r="T33" i="2"/>
  <c r="U33" i="2"/>
  <c r="V33" i="2"/>
  <c r="W33" i="2"/>
  <c r="X33" i="2"/>
  <c r="Y33" i="2"/>
  <c r="Z33" i="2"/>
  <c r="AA33" i="2"/>
  <c r="AB33" i="2"/>
  <c r="AC33" i="2"/>
  <c r="AD33" i="2"/>
  <c r="AE33" i="2"/>
  <c r="AF33" i="2"/>
  <c r="AG33" i="2"/>
  <c r="AH33" i="2"/>
  <c r="AI33" i="2"/>
  <c r="AJ33" i="2"/>
  <c r="AK33" i="2"/>
  <c r="AL33" i="2"/>
  <c r="AM33" i="2"/>
  <c r="AN33" i="2"/>
  <c r="AO33" i="2"/>
  <c r="AP33" i="2"/>
  <c r="AQ33" i="2"/>
  <c r="AR33" i="2"/>
  <c r="AS33" i="2"/>
  <c r="AT33" i="2"/>
  <c r="AU33" i="2"/>
  <c r="AV33" i="2"/>
  <c r="AW33" i="2"/>
  <c r="AX33" i="2"/>
  <c r="AY33" i="2"/>
  <c r="AZ33" i="2"/>
  <c r="BA33" i="2"/>
  <c r="BB33" i="2"/>
  <c r="BC33" i="2"/>
  <c r="BD33" i="2"/>
  <c r="BE33" i="2"/>
  <c r="BF33" i="2"/>
  <c r="BG33" i="2"/>
  <c r="BH33" i="2"/>
  <c r="BI33" i="2"/>
  <c r="BJ33" i="2"/>
  <c r="BK33" i="2"/>
  <c r="BL33" i="2"/>
  <c r="BM33" i="2"/>
  <c r="BN33" i="2"/>
  <c r="BO33" i="2"/>
  <c r="BP33" i="2"/>
  <c r="BQ33" i="2"/>
  <c r="BR33" i="2"/>
  <c r="BS33" i="2"/>
  <c r="BT33" i="2"/>
  <c r="BU33" i="2"/>
  <c r="BV33" i="2"/>
  <c r="BW33" i="2"/>
  <c r="BX33" i="2"/>
  <c r="BY33" i="2"/>
  <c r="BZ33" i="2"/>
  <c r="CA33" i="2"/>
  <c r="CB33" i="2"/>
  <c r="CC33" i="2"/>
  <c r="CD33" i="2"/>
  <c r="CE33" i="2"/>
  <c r="CF33" i="2"/>
  <c r="CG33" i="2"/>
  <c r="CH33" i="2"/>
  <c r="CI33" i="2"/>
  <c r="CJ33" i="2"/>
  <c r="CK33" i="2"/>
  <c r="CL33" i="2"/>
  <c r="C34" i="2"/>
  <c r="D34" i="2"/>
  <c r="E34" i="2"/>
  <c r="F34" i="2"/>
  <c r="G34" i="2"/>
  <c r="H34" i="2"/>
  <c r="I34" i="2"/>
  <c r="J34" i="2"/>
  <c r="K34" i="2"/>
  <c r="L34" i="2"/>
  <c r="M34" i="2"/>
  <c r="N34" i="2"/>
  <c r="O34" i="2"/>
  <c r="P34" i="2"/>
  <c r="Q34" i="2"/>
  <c r="R34" i="2"/>
  <c r="S34" i="2"/>
  <c r="T34" i="2"/>
  <c r="U34" i="2"/>
  <c r="V34" i="2"/>
  <c r="W34" i="2"/>
  <c r="X34" i="2"/>
  <c r="Y34" i="2"/>
  <c r="Z34" i="2"/>
  <c r="AA34" i="2"/>
  <c r="AB34" i="2"/>
  <c r="AC34" i="2"/>
  <c r="AD34" i="2"/>
  <c r="AE34" i="2"/>
  <c r="AF34" i="2"/>
  <c r="AG34" i="2"/>
  <c r="AH34" i="2"/>
  <c r="AI34" i="2"/>
  <c r="AJ34" i="2"/>
  <c r="AK34" i="2"/>
  <c r="AL34" i="2"/>
  <c r="AM34" i="2"/>
  <c r="AN34" i="2"/>
  <c r="AO34" i="2"/>
  <c r="AP34" i="2"/>
  <c r="AQ34" i="2"/>
  <c r="AR34" i="2"/>
  <c r="AS34" i="2"/>
  <c r="AT34" i="2"/>
  <c r="AU34" i="2"/>
  <c r="AV34" i="2"/>
  <c r="AW34" i="2"/>
  <c r="AX34" i="2"/>
  <c r="AY34" i="2"/>
  <c r="AZ34" i="2"/>
  <c r="BA34" i="2"/>
  <c r="BB34" i="2"/>
  <c r="BC34" i="2"/>
  <c r="BD34" i="2"/>
  <c r="BE34" i="2"/>
  <c r="BF34" i="2"/>
  <c r="BG34" i="2"/>
  <c r="BH34" i="2"/>
  <c r="BI34" i="2"/>
  <c r="BJ34" i="2"/>
  <c r="BK34" i="2"/>
  <c r="BL34" i="2"/>
  <c r="BM34" i="2"/>
  <c r="BN34" i="2"/>
  <c r="BO34" i="2"/>
  <c r="BP34" i="2"/>
  <c r="BQ34" i="2"/>
  <c r="BR34" i="2"/>
  <c r="BS34" i="2"/>
  <c r="BT34" i="2"/>
  <c r="BU34" i="2"/>
  <c r="BV34" i="2"/>
  <c r="BW34" i="2"/>
  <c r="BX34" i="2"/>
  <c r="BY34" i="2"/>
  <c r="BZ34" i="2"/>
  <c r="CA34" i="2"/>
  <c r="CB34" i="2"/>
  <c r="CC34" i="2"/>
  <c r="CD34" i="2"/>
  <c r="CE34" i="2"/>
  <c r="CF34" i="2"/>
  <c r="CG34" i="2"/>
  <c r="CH34" i="2"/>
  <c r="CI34" i="2"/>
  <c r="CJ34" i="2"/>
  <c r="CK34" i="2"/>
  <c r="CL34" i="2"/>
  <c r="C35" i="2"/>
  <c r="D35"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AV35" i="2"/>
  <c r="AW35" i="2"/>
  <c r="AX35" i="2"/>
  <c r="AY35" i="2"/>
  <c r="AZ35" i="2"/>
  <c r="BA35" i="2"/>
  <c r="BB35" i="2"/>
  <c r="BC35" i="2"/>
  <c r="BD35" i="2"/>
  <c r="BE35" i="2"/>
  <c r="BF35" i="2"/>
  <c r="BG35" i="2"/>
  <c r="BH35" i="2"/>
  <c r="BI35" i="2"/>
  <c r="BJ35" i="2"/>
  <c r="BK35" i="2"/>
  <c r="BL35" i="2"/>
  <c r="BM35" i="2"/>
  <c r="BN35" i="2"/>
  <c r="BO35" i="2"/>
  <c r="BP35" i="2"/>
  <c r="BQ35" i="2"/>
  <c r="BR35" i="2"/>
  <c r="BS35" i="2"/>
  <c r="BT35" i="2"/>
  <c r="BU35" i="2"/>
  <c r="BV35" i="2"/>
  <c r="BW35" i="2"/>
  <c r="BX35" i="2"/>
  <c r="BY35" i="2"/>
  <c r="BZ35" i="2"/>
  <c r="CA35" i="2"/>
  <c r="CB35" i="2"/>
  <c r="CC35" i="2"/>
  <c r="CD35" i="2"/>
  <c r="CE35" i="2"/>
  <c r="CF35" i="2"/>
  <c r="CG35" i="2"/>
  <c r="CH35" i="2"/>
  <c r="CI35" i="2"/>
  <c r="CJ35" i="2"/>
  <c r="CK35" i="2"/>
  <c r="CL35" i="2"/>
  <c r="C36" i="2"/>
  <c r="D36" i="2"/>
  <c r="E36" i="2"/>
  <c r="F36" i="2"/>
  <c r="G36" i="2"/>
  <c r="H36" i="2"/>
  <c r="I36" i="2"/>
  <c r="J36" i="2"/>
  <c r="K36" i="2"/>
  <c r="L36" i="2"/>
  <c r="M36" i="2"/>
  <c r="N36" i="2"/>
  <c r="O36" i="2"/>
  <c r="P36" i="2"/>
  <c r="Q36" i="2"/>
  <c r="R36" i="2"/>
  <c r="S36" i="2"/>
  <c r="T36" i="2"/>
  <c r="U36" i="2"/>
  <c r="V36" i="2"/>
  <c r="W36" i="2"/>
  <c r="X36" i="2"/>
  <c r="Y36" i="2"/>
  <c r="Z36" i="2"/>
  <c r="AA36" i="2"/>
  <c r="AB36" i="2"/>
  <c r="AC36" i="2"/>
  <c r="AD36" i="2"/>
  <c r="AE36" i="2"/>
  <c r="AF36" i="2"/>
  <c r="AG36" i="2"/>
  <c r="AH36" i="2"/>
  <c r="AI36" i="2"/>
  <c r="AJ36" i="2"/>
  <c r="AK36" i="2"/>
  <c r="AL36" i="2"/>
  <c r="AM36" i="2"/>
  <c r="AN36" i="2"/>
  <c r="AO36" i="2"/>
  <c r="AP36" i="2"/>
  <c r="AQ36" i="2"/>
  <c r="AR36" i="2"/>
  <c r="AS36" i="2"/>
  <c r="AT36" i="2"/>
  <c r="AU36" i="2"/>
  <c r="AV36" i="2"/>
  <c r="AW36" i="2"/>
  <c r="AX36" i="2"/>
  <c r="AY36" i="2"/>
  <c r="AZ36" i="2"/>
  <c r="BA36" i="2"/>
  <c r="BB36" i="2"/>
  <c r="BC36" i="2"/>
  <c r="BD36" i="2"/>
  <c r="BE36" i="2"/>
  <c r="BF36" i="2"/>
  <c r="BG36" i="2"/>
  <c r="BH36" i="2"/>
  <c r="BI36" i="2"/>
  <c r="BJ36" i="2"/>
  <c r="BK36" i="2"/>
  <c r="BL36" i="2"/>
  <c r="BM36" i="2"/>
  <c r="BN36" i="2"/>
  <c r="BO36" i="2"/>
  <c r="BP36" i="2"/>
  <c r="BQ36" i="2"/>
  <c r="BR36" i="2"/>
  <c r="BS36" i="2"/>
  <c r="BT36" i="2"/>
  <c r="BU36" i="2"/>
  <c r="BV36" i="2"/>
  <c r="BW36" i="2"/>
  <c r="BX36" i="2"/>
  <c r="BY36" i="2"/>
  <c r="BZ36" i="2"/>
  <c r="CA36" i="2"/>
  <c r="CB36" i="2"/>
  <c r="CC36" i="2"/>
  <c r="CD36" i="2"/>
  <c r="CE36" i="2"/>
  <c r="CF36" i="2"/>
  <c r="CG36" i="2"/>
  <c r="CH36" i="2"/>
  <c r="CI36" i="2"/>
  <c r="CJ36" i="2"/>
  <c r="CK36" i="2"/>
  <c r="CL36" i="2"/>
  <c r="C37" i="2"/>
  <c r="D37" i="2"/>
  <c r="E37" i="2"/>
  <c r="F37" i="2"/>
  <c r="G37" i="2"/>
  <c r="H37"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O37" i="2"/>
  <c r="AP37" i="2"/>
  <c r="AQ37" i="2"/>
  <c r="AR37" i="2"/>
  <c r="AS37" i="2"/>
  <c r="AT37" i="2"/>
  <c r="AU37" i="2"/>
  <c r="AV37" i="2"/>
  <c r="AW37" i="2"/>
  <c r="AX37" i="2"/>
  <c r="AY37" i="2"/>
  <c r="AZ37" i="2"/>
  <c r="BA37" i="2"/>
  <c r="BB37" i="2"/>
  <c r="BC37" i="2"/>
  <c r="BD37" i="2"/>
  <c r="BE37" i="2"/>
  <c r="BF37" i="2"/>
  <c r="BG37" i="2"/>
  <c r="BH37" i="2"/>
  <c r="BI37" i="2"/>
  <c r="BJ37" i="2"/>
  <c r="BK37" i="2"/>
  <c r="BL37" i="2"/>
  <c r="BM37" i="2"/>
  <c r="BN37" i="2"/>
  <c r="BO37" i="2"/>
  <c r="BP37" i="2"/>
  <c r="BQ37" i="2"/>
  <c r="BR37" i="2"/>
  <c r="BS37" i="2"/>
  <c r="BT37" i="2"/>
  <c r="BU37" i="2"/>
  <c r="BV37" i="2"/>
  <c r="BW37" i="2"/>
  <c r="BX37" i="2"/>
  <c r="BY37" i="2"/>
  <c r="BZ37" i="2"/>
  <c r="CA37" i="2"/>
  <c r="CB37" i="2"/>
  <c r="CC37" i="2"/>
  <c r="CD37" i="2"/>
  <c r="CE37" i="2"/>
  <c r="CF37" i="2"/>
  <c r="CG37" i="2"/>
  <c r="CH37" i="2"/>
  <c r="CI37" i="2"/>
  <c r="CJ37" i="2"/>
  <c r="CK37" i="2"/>
  <c r="CL37" i="2"/>
  <c r="C38" i="2"/>
  <c r="D38" i="2"/>
  <c r="E38" i="2"/>
  <c r="F38" i="2"/>
  <c r="G38" i="2"/>
  <c r="H38" i="2"/>
  <c r="I38" i="2"/>
  <c r="J38" i="2"/>
  <c r="K38" i="2"/>
  <c r="L38" i="2"/>
  <c r="M38" i="2"/>
  <c r="N38" i="2"/>
  <c r="O38" i="2"/>
  <c r="P38" i="2"/>
  <c r="Q38" i="2"/>
  <c r="R38" i="2"/>
  <c r="S38" i="2"/>
  <c r="T38" i="2"/>
  <c r="U38" i="2"/>
  <c r="V38" i="2"/>
  <c r="W38" i="2"/>
  <c r="X38" i="2"/>
  <c r="Y38" i="2"/>
  <c r="Z38" i="2"/>
  <c r="AA38" i="2"/>
  <c r="AB38" i="2"/>
  <c r="AC38" i="2"/>
  <c r="AD38" i="2"/>
  <c r="AE38" i="2"/>
  <c r="AF38" i="2"/>
  <c r="AG38" i="2"/>
  <c r="AH38" i="2"/>
  <c r="AI38" i="2"/>
  <c r="AJ38" i="2"/>
  <c r="AK38" i="2"/>
  <c r="AL38" i="2"/>
  <c r="AM38" i="2"/>
  <c r="AN38" i="2"/>
  <c r="AO38" i="2"/>
  <c r="AP38" i="2"/>
  <c r="AQ38" i="2"/>
  <c r="AR38" i="2"/>
  <c r="AS38" i="2"/>
  <c r="AT38" i="2"/>
  <c r="AU38" i="2"/>
  <c r="AV38" i="2"/>
  <c r="AW38" i="2"/>
  <c r="AX38" i="2"/>
  <c r="AY38" i="2"/>
  <c r="AZ38" i="2"/>
  <c r="BA38" i="2"/>
  <c r="BB38" i="2"/>
  <c r="BC38" i="2"/>
  <c r="BD38" i="2"/>
  <c r="BE38" i="2"/>
  <c r="BF38" i="2"/>
  <c r="BG38" i="2"/>
  <c r="BH38" i="2"/>
  <c r="BI38" i="2"/>
  <c r="BJ38" i="2"/>
  <c r="BK38" i="2"/>
  <c r="BL38" i="2"/>
  <c r="BM38" i="2"/>
  <c r="BN38" i="2"/>
  <c r="BO38" i="2"/>
  <c r="BP38" i="2"/>
  <c r="BQ38" i="2"/>
  <c r="BR38" i="2"/>
  <c r="BS38" i="2"/>
  <c r="BT38" i="2"/>
  <c r="BU38" i="2"/>
  <c r="BV38" i="2"/>
  <c r="BW38" i="2"/>
  <c r="BX38" i="2"/>
  <c r="BY38" i="2"/>
  <c r="BZ38" i="2"/>
  <c r="CA38" i="2"/>
  <c r="CB38" i="2"/>
  <c r="CC38" i="2"/>
  <c r="CD38" i="2"/>
  <c r="CE38" i="2"/>
  <c r="CF38" i="2"/>
  <c r="CG38" i="2"/>
  <c r="CH38" i="2"/>
  <c r="CI38" i="2"/>
  <c r="CJ38" i="2"/>
  <c r="CK38" i="2"/>
  <c r="CL38" i="2"/>
  <c r="C39" i="2"/>
  <c r="D39" i="2"/>
  <c r="E39" i="2"/>
  <c r="F39" i="2"/>
  <c r="G39" i="2"/>
  <c r="H39" i="2"/>
  <c r="I39" i="2"/>
  <c r="J39" i="2"/>
  <c r="K39" i="2"/>
  <c r="L39" i="2"/>
  <c r="M39" i="2"/>
  <c r="N39" i="2"/>
  <c r="O39" i="2"/>
  <c r="P39" i="2"/>
  <c r="Q39" i="2"/>
  <c r="R39" i="2"/>
  <c r="S39" i="2"/>
  <c r="T39" i="2"/>
  <c r="U39" i="2"/>
  <c r="V39" i="2"/>
  <c r="W39" i="2"/>
  <c r="X39" i="2"/>
  <c r="Y39" i="2"/>
  <c r="Z39" i="2"/>
  <c r="AA39" i="2"/>
  <c r="AB39" i="2"/>
  <c r="AC39" i="2"/>
  <c r="AD39" i="2"/>
  <c r="AE39" i="2"/>
  <c r="AF39" i="2"/>
  <c r="AG39" i="2"/>
  <c r="AH39" i="2"/>
  <c r="AI39" i="2"/>
  <c r="AJ39" i="2"/>
  <c r="AK39" i="2"/>
  <c r="AL39" i="2"/>
  <c r="AM39" i="2"/>
  <c r="AN39" i="2"/>
  <c r="AO39" i="2"/>
  <c r="AP39" i="2"/>
  <c r="AQ39" i="2"/>
  <c r="AR39" i="2"/>
  <c r="AS39" i="2"/>
  <c r="AT39" i="2"/>
  <c r="AU39" i="2"/>
  <c r="AV39" i="2"/>
  <c r="AW39" i="2"/>
  <c r="AX39" i="2"/>
  <c r="AY39" i="2"/>
  <c r="AZ39" i="2"/>
  <c r="BA39" i="2"/>
  <c r="BB39" i="2"/>
  <c r="BC39" i="2"/>
  <c r="BD39" i="2"/>
  <c r="BE39" i="2"/>
  <c r="BF39" i="2"/>
  <c r="BG39" i="2"/>
  <c r="BH39" i="2"/>
  <c r="BI39" i="2"/>
  <c r="BJ39" i="2"/>
  <c r="BK39" i="2"/>
  <c r="BL39" i="2"/>
  <c r="BM39" i="2"/>
  <c r="BN39" i="2"/>
  <c r="BO39" i="2"/>
  <c r="BP39" i="2"/>
  <c r="BQ39" i="2"/>
  <c r="BR39" i="2"/>
  <c r="BS39" i="2"/>
  <c r="BT39" i="2"/>
  <c r="BU39" i="2"/>
  <c r="BV39" i="2"/>
  <c r="BW39" i="2"/>
  <c r="BX39" i="2"/>
  <c r="BY39" i="2"/>
  <c r="BZ39" i="2"/>
  <c r="CA39" i="2"/>
  <c r="CB39" i="2"/>
  <c r="CC39" i="2"/>
  <c r="CD39" i="2"/>
  <c r="CE39" i="2"/>
  <c r="CF39" i="2"/>
  <c r="CG39" i="2"/>
  <c r="CH39" i="2"/>
  <c r="CI39" i="2"/>
  <c r="CJ39" i="2"/>
  <c r="CK39" i="2"/>
  <c r="CL39" i="2"/>
  <c r="C40" i="2"/>
  <c r="D40" i="2"/>
  <c r="E40" i="2"/>
  <c r="F40" i="2"/>
  <c r="G40" i="2"/>
  <c r="H40" i="2"/>
  <c r="I40" i="2"/>
  <c r="J40" i="2"/>
  <c r="K40" i="2"/>
  <c r="L40" i="2"/>
  <c r="M40" i="2"/>
  <c r="N40" i="2"/>
  <c r="O40" i="2"/>
  <c r="P40" i="2"/>
  <c r="Q40" i="2"/>
  <c r="R40" i="2"/>
  <c r="S40" i="2"/>
  <c r="T40" i="2"/>
  <c r="U40" i="2"/>
  <c r="V40" i="2"/>
  <c r="W40" i="2"/>
  <c r="X40" i="2"/>
  <c r="Y40" i="2"/>
  <c r="Z40" i="2"/>
  <c r="AA40" i="2"/>
  <c r="AB40" i="2"/>
  <c r="AC40" i="2"/>
  <c r="AD40" i="2"/>
  <c r="AE40" i="2"/>
  <c r="AF40" i="2"/>
  <c r="AG40" i="2"/>
  <c r="AH40" i="2"/>
  <c r="AI40" i="2"/>
  <c r="AJ40" i="2"/>
  <c r="AK40" i="2"/>
  <c r="AL40" i="2"/>
  <c r="AM40" i="2"/>
  <c r="AN40" i="2"/>
  <c r="AO40" i="2"/>
  <c r="AP40" i="2"/>
  <c r="AQ40" i="2"/>
  <c r="AR40" i="2"/>
  <c r="AS40" i="2"/>
  <c r="AT40" i="2"/>
  <c r="AU40" i="2"/>
  <c r="AV40" i="2"/>
  <c r="AW40" i="2"/>
  <c r="AX40" i="2"/>
  <c r="AY40" i="2"/>
  <c r="AZ40" i="2"/>
  <c r="BA40" i="2"/>
  <c r="BB40" i="2"/>
  <c r="BC40" i="2"/>
  <c r="BD40" i="2"/>
  <c r="BE40" i="2"/>
  <c r="BF40" i="2"/>
  <c r="BG40" i="2"/>
  <c r="BH40" i="2"/>
  <c r="BI40" i="2"/>
  <c r="BJ40" i="2"/>
  <c r="BK40" i="2"/>
  <c r="BL40" i="2"/>
  <c r="BM40" i="2"/>
  <c r="BN40" i="2"/>
  <c r="BO40" i="2"/>
  <c r="BP40" i="2"/>
  <c r="BQ40" i="2"/>
  <c r="BR40" i="2"/>
  <c r="BS40" i="2"/>
  <c r="BT40" i="2"/>
  <c r="BU40" i="2"/>
  <c r="BV40" i="2"/>
  <c r="BW40" i="2"/>
  <c r="BX40" i="2"/>
  <c r="BY40" i="2"/>
  <c r="BZ40" i="2"/>
  <c r="CA40" i="2"/>
  <c r="CB40" i="2"/>
  <c r="CC40" i="2"/>
  <c r="CD40" i="2"/>
  <c r="CE40" i="2"/>
  <c r="CF40" i="2"/>
  <c r="CG40" i="2"/>
  <c r="CH40" i="2"/>
  <c r="CI40" i="2"/>
  <c r="CJ40" i="2"/>
  <c r="CK40" i="2"/>
  <c r="CL40" i="2"/>
  <c r="C41" i="2"/>
  <c r="D41" i="2"/>
  <c r="E41" i="2"/>
  <c r="F41" i="2"/>
  <c r="G41" i="2"/>
  <c r="H41" i="2"/>
  <c r="I41" i="2"/>
  <c r="J41" i="2"/>
  <c r="K41" i="2"/>
  <c r="L41" i="2"/>
  <c r="M41" i="2"/>
  <c r="N41" i="2"/>
  <c r="O41" i="2"/>
  <c r="P41" i="2"/>
  <c r="Q41" i="2"/>
  <c r="R41" i="2"/>
  <c r="S41" i="2"/>
  <c r="T41" i="2"/>
  <c r="U41" i="2"/>
  <c r="V41" i="2"/>
  <c r="W41" i="2"/>
  <c r="X41" i="2"/>
  <c r="Y41" i="2"/>
  <c r="Z41" i="2"/>
  <c r="AA41" i="2"/>
  <c r="AB41" i="2"/>
  <c r="AC41" i="2"/>
  <c r="AD41" i="2"/>
  <c r="AE41" i="2"/>
  <c r="AF41" i="2"/>
  <c r="AG41" i="2"/>
  <c r="AH41" i="2"/>
  <c r="AI41" i="2"/>
  <c r="AJ41" i="2"/>
  <c r="AK41" i="2"/>
  <c r="AL41" i="2"/>
  <c r="AM41" i="2"/>
  <c r="AN41" i="2"/>
  <c r="AO41" i="2"/>
  <c r="AP41" i="2"/>
  <c r="AQ41" i="2"/>
  <c r="AR41" i="2"/>
  <c r="AS41" i="2"/>
  <c r="AT41" i="2"/>
  <c r="AU41" i="2"/>
  <c r="AV41" i="2"/>
  <c r="AW41" i="2"/>
  <c r="AX41" i="2"/>
  <c r="AY41" i="2"/>
  <c r="AZ41" i="2"/>
  <c r="BA41" i="2"/>
  <c r="BB41" i="2"/>
  <c r="BC41" i="2"/>
  <c r="BD41" i="2"/>
  <c r="BE41" i="2"/>
  <c r="BF41" i="2"/>
  <c r="BG41" i="2"/>
  <c r="BH41" i="2"/>
  <c r="BI41" i="2"/>
  <c r="BJ41" i="2"/>
  <c r="BK41" i="2"/>
  <c r="BL41" i="2"/>
  <c r="BM41" i="2"/>
  <c r="BN41" i="2"/>
  <c r="BO41" i="2"/>
  <c r="BP41" i="2"/>
  <c r="BQ41" i="2"/>
  <c r="BR41" i="2"/>
  <c r="BS41" i="2"/>
  <c r="BT41" i="2"/>
  <c r="BU41" i="2"/>
  <c r="BV41" i="2"/>
  <c r="BW41" i="2"/>
  <c r="BX41" i="2"/>
  <c r="BY41" i="2"/>
  <c r="BZ41" i="2"/>
  <c r="CA41" i="2"/>
  <c r="CB41" i="2"/>
  <c r="CC41" i="2"/>
  <c r="CD41" i="2"/>
  <c r="CE41" i="2"/>
  <c r="CF41" i="2"/>
  <c r="CG41" i="2"/>
  <c r="CH41" i="2"/>
  <c r="CI41" i="2"/>
  <c r="CJ41" i="2"/>
  <c r="CK41" i="2"/>
  <c r="CL41" i="2"/>
  <c r="C42" i="2"/>
  <c r="D42" i="2"/>
  <c r="E42" i="2"/>
  <c r="F42" i="2"/>
  <c r="G42" i="2"/>
  <c r="H42" i="2"/>
  <c r="I42" i="2"/>
  <c r="J42" i="2"/>
  <c r="K42" i="2"/>
  <c r="L42" i="2"/>
  <c r="M42" i="2"/>
  <c r="N42" i="2"/>
  <c r="O42" i="2"/>
  <c r="P42" i="2"/>
  <c r="Q42" i="2"/>
  <c r="R42" i="2"/>
  <c r="S42" i="2"/>
  <c r="T42" i="2"/>
  <c r="U42" i="2"/>
  <c r="V42" i="2"/>
  <c r="W42" i="2"/>
  <c r="X42" i="2"/>
  <c r="Y42" i="2"/>
  <c r="Z42" i="2"/>
  <c r="AA42" i="2"/>
  <c r="AB42" i="2"/>
  <c r="AC42" i="2"/>
  <c r="AD42" i="2"/>
  <c r="AE42" i="2"/>
  <c r="AF42" i="2"/>
  <c r="AG42" i="2"/>
  <c r="AH42" i="2"/>
  <c r="AI42" i="2"/>
  <c r="AJ42" i="2"/>
  <c r="AK42" i="2"/>
  <c r="AL42" i="2"/>
  <c r="AM42" i="2"/>
  <c r="AN42" i="2"/>
  <c r="AO42" i="2"/>
  <c r="AP42" i="2"/>
  <c r="AQ42" i="2"/>
  <c r="AR42" i="2"/>
  <c r="AS42" i="2"/>
  <c r="AT42" i="2"/>
  <c r="AU42" i="2"/>
  <c r="AV42" i="2"/>
  <c r="AW42" i="2"/>
  <c r="AX42" i="2"/>
  <c r="AY42" i="2"/>
  <c r="AZ42" i="2"/>
  <c r="BA42" i="2"/>
  <c r="BB42" i="2"/>
  <c r="BC42" i="2"/>
  <c r="BD42" i="2"/>
  <c r="BE42" i="2"/>
  <c r="BF42" i="2"/>
  <c r="BG42" i="2"/>
  <c r="BH42" i="2"/>
  <c r="BI42" i="2"/>
  <c r="BJ42" i="2"/>
  <c r="BK42" i="2"/>
  <c r="BL42" i="2"/>
  <c r="BM42" i="2"/>
  <c r="BN42" i="2"/>
  <c r="BO42" i="2"/>
  <c r="BP42" i="2"/>
  <c r="BQ42" i="2"/>
  <c r="BR42" i="2"/>
  <c r="BS42" i="2"/>
  <c r="BT42" i="2"/>
  <c r="BU42" i="2"/>
  <c r="BV42" i="2"/>
  <c r="BW42" i="2"/>
  <c r="BX42" i="2"/>
  <c r="BY42" i="2"/>
  <c r="BZ42" i="2"/>
  <c r="CA42" i="2"/>
  <c r="CB42" i="2"/>
  <c r="CC42" i="2"/>
  <c r="CD42" i="2"/>
  <c r="CE42" i="2"/>
  <c r="CF42" i="2"/>
  <c r="CG42" i="2"/>
  <c r="CH42" i="2"/>
  <c r="CI42" i="2"/>
  <c r="CJ42" i="2"/>
  <c r="CK42" i="2"/>
  <c r="CL42" i="2"/>
  <c r="C43" i="2"/>
  <c r="D43" i="2"/>
  <c r="E43" i="2"/>
  <c r="F43" i="2"/>
  <c r="G43" i="2"/>
  <c r="H43" i="2"/>
  <c r="I43" i="2"/>
  <c r="J43" i="2"/>
  <c r="K43" i="2"/>
  <c r="L43" i="2"/>
  <c r="M43" i="2"/>
  <c r="N43" i="2"/>
  <c r="O43" i="2"/>
  <c r="P43" i="2"/>
  <c r="Q43" i="2"/>
  <c r="R43" i="2"/>
  <c r="S43" i="2"/>
  <c r="T43" i="2"/>
  <c r="U43" i="2"/>
  <c r="V43" i="2"/>
  <c r="W43" i="2"/>
  <c r="X43" i="2"/>
  <c r="Y43" i="2"/>
  <c r="Z43" i="2"/>
  <c r="AA43" i="2"/>
  <c r="AB43" i="2"/>
  <c r="AC43" i="2"/>
  <c r="AD43" i="2"/>
  <c r="AE43" i="2"/>
  <c r="AF43" i="2"/>
  <c r="AG43" i="2"/>
  <c r="AH43" i="2"/>
  <c r="AI43" i="2"/>
  <c r="AJ43" i="2"/>
  <c r="AK43" i="2"/>
  <c r="AL43" i="2"/>
  <c r="AM43" i="2"/>
  <c r="AN43" i="2"/>
  <c r="AO43" i="2"/>
  <c r="AP43" i="2"/>
  <c r="AQ43" i="2"/>
  <c r="AR43" i="2"/>
  <c r="AS43" i="2"/>
  <c r="AT43" i="2"/>
  <c r="AU43" i="2"/>
  <c r="AV43" i="2"/>
  <c r="AW43" i="2"/>
  <c r="AX43" i="2"/>
  <c r="AY43" i="2"/>
  <c r="AZ43" i="2"/>
  <c r="BA43" i="2"/>
  <c r="BB43" i="2"/>
  <c r="BC43" i="2"/>
  <c r="BD43" i="2"/>
  <c r="BE43" i="2"/>
  <c r="BF43" i="2"/>
  <c r="BG43" i="2"/>
  <c r="BH43" i="2"/>
  <c r="BI43" i="2"/>
  <c r="BJ43" i="2"/>
  <c r="BK43" i="2"/>
  <c r="BL43" i="2"/>
  <c r="BM43" i="2"/>
  <c r="BN43" i="2"/>
  <c r="BO43" i="2"/>
  <c r="BP43" i="2"/>
  <c r="BQ43" i="2"/>
  <c r="BR43" i="2"/>
  <c r="BS43" i="2"/>
  <c r="BT43" i="2"/>
  <c r="BU43" i="2"/>
  <c r="BV43" i="2"/>
  <c r="BW43" i="2"/>
  <c r="BX43" i="2"/>
  <c r="BY43" i="2"/>
  <c r="BZ43" i="2"/>
  <c r="CA43" i="2"/>
  <c r="CB43" i="2"/>
  <c r="CC43" i="2"/>
  <c r="CD43" i="2"/>
  <c r="CE43" i="2"/>
  <c r="CF43" i="2"/>
  <c r="CG43" i="2"/>
  <c r="CH43" i="2"/>
  <c r="CI43" i="2"/>
  <c r="CJ43" i="2"/>
  <c r="CK43" i="2"/>
  <c r="CL43" i="2"/>
  <c r="C44" i="2"/>
  <c r="D44" i="2"/>
  <c r="E44" i="2"/>
  <c r="F44" i="2"/>
  <c r="G44" i="2"/>
  <c r="H44" i="2"/>
  <c r="I44" i="2"/>
  <c r="J44" i="2"/>
  <c r="K44" i="2"/>
  <c r="L44" i="2"/>
  <c r="M44" i="2"/>
  <c r="N44" i="2"/>
  <c r="O44" i="2"/>
  <c r="P44" i="2"/>
  <c r="Q44" i="2"/>
  <c r="R44" i="2"/>
  <c r="S44" i="2"/>
  <c r="T44" i="2"/>
  <c r="U44" i="2"/>
  <c r="V44" i="2"/>
  <c r="W44" i="2"/>
  <c r="X44" i="2"/>
  <c r="Y44" i="2"/>
  <c r="Z44" i="2"/>
  <c r="AA44" i="2"/>
  <c r="AB44" i="2"/>
  <c r="AC44" i="2"/>
  <c r="AD44" i="2"/>
  <c r="AE44" i="2"/>
  <c r="AF44" i="2"/>
  <c r="AG44" i="2"/>
  <c r="AH44" i="2"/>
  <c r="AI44" i="2"/>
  <c r="AJ44" i="2"/>
  <c r="AK44" i="2"/>
  <c r="AL44" i="2"/>
  <c r="AM44" i="2"/>
  <c r="AN44" i="2"/>
  <c r="AO44" i="2"/>
  <c r="AP44" i="2"/>
  <c r="AQ44" i="2"/>
  <c r="AR44" i="2"/>
  <c r="AS44" i="2"/>
  <c r="AT44" i="2"/>
  <c r="AU44" i="2"/>
  <c r="AV44" i="2"/>
  <c r="AW44" i="2"/>
  <c r="AX44" i="2"/>
  <c r="AY44" i="2"/>
  <c r="AZ44" i="2"/>
  <c r="BA44" i="2"/>
  <c r="BB44" i="2"/>
  <c r="BC44" i="2"/>
  <c r="BD44" i="2"/>
  <c r="BE44" i="2"/>
  <c r="BF44" i="2"/>
  <c r="BG44" i="2"/>
  <c r="BH44" i="2"/>
  <c r="BI44" i="2"/>
  <c r="BJ44" i="2"/>
  <c r="BK44" i="2"/>
  <c r="BL44" i="2"/>
  <c r="BM44" i="2"/>
  <c r="BN44" i="2"/>
  <c r="BO44" i="2"/>
  <c r="BP44" i="2"/>
  <c r="BQ44" i="2"/>
  <c r="BR44" i="2"/>
  <c r="BS44" i="2"/>
  <c r="BT44" i="2"/>
  <c r="BU44" i="2"/>
  <c r="BV44" i="2"/>
  <c r="BW44" i="2"/>
  <c r="BX44" i="2"/>
  <c r="BY44" i="2"/>
  <c r="BZ44" i="2"/>
  <c r="CA44" i="2"/>
  <c r="CB44" i="2"/>
  <c r="CC44" i="2"/>
  <c r="CD44" i="2"/>
  <c r="CE44" i="2"/>
  <c r="CF44" i="2"/>
  <c r="CG44" i="2"/>
  <c r="CH44" i="2"/>
  <c r="CI44" i="2"/>
  <c r="CJ44" i="2"/>
  <c r="CK44" i="2"/>
  <c r="CL44" i="2"/>
  <c r="C45" i="2"/>
  <c r="D45" i="2"/>
  <c r="E45" i="2"/>
  <c r="F45" i="2"/>
  <c r="G45" i="2"/>
  <c r="H45" i="2"/>
  <c r="I45" i="2"/>
  <c r="J45" i="2"/>
  <c r="K45" i="2"/>
  <c r="L45" i="2"/>
  <c r="M45" i="2"/>
  <c r="N45" i="2"/>
  <c r="O45" i="2"/>
  <c r="P45" i="2"/>
  <c r="Q45" i="2"/>
  <c r="R45" i="2"/>
  <c r="S45" i="2"/>
  <c r="T45" i="2"/>
  <c r="U45" i="2"/>
  <c r="V45" i="2"/>
  <c r="W45" i="2"/>
  <c r="X45" i="2"/>
  <c r="Y45" i="2"/>
  <c r="Z45" i="2"/>
  <c r="AA45" i="2"/>
  <c r="AB45" i="2"/>
  <c r="AC45" i="2"/>
  <c r="AD45" i="2"/>
  <c r="AE45" i="2"/>
  <c r="AF45" i="2"/>
  <c r="AG45" i="2"/>
  <c r="AH45" i="2"/>
  <c r="AI45" i="2"/>
  <c r="AJ45" i="2"/>
  <c r="AK45" i="2"/>
  <c r="AL45" i="2"/>
  <c r="AM45" i="2"/>
  <c r="AN45" i="2"/>
  <c r="AO45" i="2"/>
  <c r="AP45" i="2"/>
  <c r="AQ45" i="2"/>
  <c r="AR45" i="2"/>
  <c r="AS45" i="2"/>
  <c r="AT45" i="2"/>
  <c r="AU45" i="2"/>
  <c r="AV45" i="2"/>
  <c r="AW45" i="2"/>
  <c r="AX45" i="2"/>
  <c r="AY45" i="2"/>
  <c r="AZ45" i="2"/>
  <c r="BA45" i="2"/>
  <c r="BB45" i="2"/>
  <c r="BC45" i="2"/>
  <c r="BD45" i="2"/>
  <c r="BE45" i="2"/>
  <c r="BF45" i="2"/>
  <c r="BG45" i="2"/>
  <c r="BH45" i="2"/>
  <c r="BI45" i="2"/>
  <c r="BJ45" i="2"/>
  <c r="BK45" i="2"/>
  <c r="BL45" i="2"/>
  <c r="BM45" i="2"/>
  <c r="BN45" i="2"/>
  <c r="BO45" i="2"/>
  <c r="BP45" i="2"/>
  <c r="BQ45" i="2"/>
  <c r="BR45" i="2"/>
  <c r="BS45" i="2"/>
  <c r="BT45" i="2"/>
  <c r="BU45" i="2"/>
  <c r="BV45" i="2"/>
  <c r="BW45" i="2"/>
  <c r="BX45" i="2"/>
  <c r="BY45" i="2"/>
  <c r="BZ45" i="2"/>
  <c r="CA45" i="2"/>
  <c r="CB45" i="2"/>
  <c r="CC45" i="2"/>
  <c r="CD45" i="2"/>
  <c r="CE45" i="2"/>
  <c r="CF45" i="2"/>
  <c r="CG45" i="2"/>
  <c r="CH45" i="2"/>
  <c r="CI45" i="2"/>
  <c r="CJ45" i="2"/>
  <c r="CK45" i="2"/>
  <c r="CL45" i="2"/>
  <c r="C46" i="2"/>
  <c r="D46" i="2"/>
  <c r="E46" i="2"/>
  <c r="F46" i="2"/>
  <c r="G46" i="2"/>
  <c r="H46" i="2"/>
  <c r="I46" i="2"/>
  <c r="J46" i="2"/>
  <c r="K46" i="2"/>
  <c r="L46" i="2"/>
  <c r="M46" i="2"/>
  <c r="N46" i="2"/>
  <c r="O46" i="2"/>
  <c r="P46" i="2"/>
  <c r="Q46" i="2"/>
  <c r="R46" i="2"/>
  <c r="S46" i="2"/>
  <c r="T46" i="2"/>
  <c r="U46" i="2"/>
  <c r="V46" i="2"/>
  <c r="W46" i="2"/>
  <c r="X46" i="2"/>
  <c r="Y46" i="2"/>
  <c r="Z46" i="2"/>
  <c r="AA46" i="2"/>
  <c r="AB46" i="2"/>
  <c r="AC46" i="2"/>
  <c r="AD46" i="2"/>
  <c r="AE46" i="2"/>
  <c r="AF46" i="2"/>
  <c r="AG46" i="2"/>
  <c r="AH46" i="2"/>
  <c r="AI46" i="2"/>
  <c r="AJ46" i="2"/>
  <c r="AK46" i="2"/>
  <c r="AL46" i="2"/>
  <c r="AM46" i="2"/>
  <c r="AN46" i="2"/>
  <c r="AO46" i="2"/>
  <c r="AP46" i="2"/>
  <c r="AQ46" i="2"/>
  <c r="AR46" i="2"/>
  <c r="AS46" i="2"/>
  <c r="AT46" i="2"/>
  <c r="AU46" i="2"/>
  <c r="AV46" i="2"/>
  <c r="AW46" i="2"/>
  <c r="AX46" i="2"/>
  <c r="AY46" i="2"/>
  <c r="AZ46" i="2"/>
  <c r="BA46" i="2"/>
  <c r="BB46" i="2"/>
  <c r="BC46" i="2"/>
  <c r="BD46" i="2"/>
  <c r="BE46" i="2"/>
  <c r="BF46" i="2"/>
  <c r="BG46" i="2"/>
  <c r="BH46" i="2"/>
  <c r="BI46" i="2"/>
  <c r="BJ46" i="2"/>
  <c r="BK46" i="2"/>
  <c r="BL46" i="2"/>
  <c r="BM46" i="2"/>
  <c r="BN46" i="2"/>
  <c r="BO46" i="2"/>
  <c r="BP46" i="2"/>
  <c r="BQ46" i="2"/>
  <c r="BR46" i="2"/>
  <c r="BS46" i="2"/>
  <c r="BT46" i="2"/>
  <c r="BU46" i="2"/>
  <c r="BV46" i="2"/>
  <c r="BW46" i="2"/>
  <c r="BX46" i="2"/>
  <c r="BY46" i="2"/>
  <c r="BZ46" i="2"/>
  <c r="CA46" i="2"/>
  <c r="CB46" i="2"/>
  <c r="CC46" i="2"/>
  <c r="CD46" i="2"/>
  <c r="CE46" i="2"/>
  <c r="CF46" i="2"/>
  <c r="CG46" i="2"/>
  <c r="CH46" i="2"/>
  <c r="CI46" i="2"/>
  <c r="CJ46" i="2"/>
  <c r="CK46" i="2"/>
  <c r="CL46" i="2"/>
  <c r="C47" i="2"/>
  <c r="D47" i="2"/>
  <c r="E47" i="2"/>
  <c r="F47" i="2"/>
  <c r="G47" i="2"/>
  <c r="H47" i="2"/>
  <c r="I47" i="2"/>
  <c r="J47" i="2"/>
  <c r="K47" i="2"/>
  <c r="L47" i="2"/>
  <c r="M47" i="2"/>
  <c r="N47" i="2"/>
  <c r="O47" i="2"/>
  <c r="P47" i="2"/>
  <c r="Q47" i="2"/>
  <c r="R47" i="2"/>
  <c r="S47" i="2"/>
  <c r="T47" i="2"/>
  <c r="U47" i="2"/>
  <c r="V47" i="2"/>
  <c r="W47" i="2"/>
  <c r="X47" i="2"/>
  <c r="Y47" i="2"/>
  <c r="Z47" i="2"/>
  <c r="AA47" i="2"/>
  <c r="AB47" i="2"/>
  <c r="AC47" i="2"/>
  <c r="AD47" i="2"/>
  <c r="AE47" i="2"/>
  <c r="AF47" i="2"/>
  <c r="AG47" i="2"/>
  <c r="AH47" i="2"/>
  <c r="AI47" i="2"/>
  <c r="AJ47" i="2"/>
  <c r="AK47" i="2"/>
  <c r="AL47" i="2"/>
  <c r="AM47" i="2"/>
  <c r="AN47" i="2"/>
  <c r="AO47" i="2"/>
  <c r="AP47" i="2"/>
  <c r="AQ47" i="2"/>
  <c r="AR47" i="2"/>
  <c r="AS47" i="2"/>
  <c r="AT47" i="2"/>
  <c r="AU47" i="2"/>
  <c r="AV47" i="2"/>
  <c r="AW47" i="2"/>
  <c r="AX47" i="2"/>
  <c r="AY47" i="2"/>
  <c r="AZ47" i="2"/>
  <c r="BA47" i="2"/>
  <c r="BB47" i="2"/>
  <c r="BC47" i="2"/>
  <c r="BD47" i="2"/>
  <c r="BE47" i="2"/>
  <c r="BF47" i="2"/>
  <c r="BG47" i="2"/>
  <c r="BH47" i="2"/>
  <c r="BI47" i="2"/>
  <c r="BJ47" i="2"/>
  <c r="BK47" i="2"/>
  <c r="BL47" i="2"/>
  <c r="BM47" i="2"/>
  <c r="BN47" i="2"/>
  <c r="BO47" i="2"/>
  <c r="BP47" i="2"/>
  <c r="BQ47" i="2"/>
  <c r="BR47" i="2"/>
  <c r="BS47" i="2"/>
  <c r="BT47" i="2"/>
  <c r="BU47" i="2"/>
  <c r="BV47" i="2"/>
  <c r="BW47" i="2"/>
  <c r="BX47" i="2"/>
  <c r="BY47" i="2"/>
  <c r="BZ47" i="2"/>
  <c r="CA47" i="2"/>
  <c r="CB47" i="2"/>
  <c r="CC47" i="2"/>
  <c r="CD47" i="2"/>
  <c r="CE47" i="2"/>
  <c r="CF47" i="2"/>
  <c r="CG47" i="2"/>
  <c r="CH47" i="2"/>
  <c r="CI47" i="2"/>
  <c r="CJ47" i="2"/>
  <c r="CK47" i="2"/>
  <c r="CL47" i="2"/>
  <c r="C48" i="2"/>
  <c r="D48" i="2"/>
  <c r="E48" i="2"/>
  <c r="F48" i="2"/>
  <c r="G48" i="2"/>
  <c r="H48" i="2"/>
  <c r="I48" i="2"/>
  <c r="J48" i="2"/>
  <c r="K48" i="2"/>
  <c r="L48" i="2"/>
  <c r="M48" i="2"/>
  <c r="N48" i="2"/>
  <c r="O48" i="2"/>
  <c r="P48" i="2"/>
  <c r="Q48" i="2"/>
  <c r="R48" i="2"/>
  <c r="S48" i="2"/>
  <c r="T48" i="2"/>
  <c r="U48" i="2"/>
  <c r="V48" i="2"/>
  <c r="W48" i="2"/>
  <c r="X48" i="2"/>
  <c r="Y48" i="2"/>
  <c r="Z48" i="2"/>
  <c r="AA48" i="2"/>
  <c r="AB48" i="2"/>
  <c r="AC48" i="2"/>
  <c r="AD48" i="2"/>
  <c r="AE48" i="2"/>
  <c r="AF48" i="2"/>
  <c r="AG48" i="2"/>
  <c r="AH48" i="2"/>
  <c r="AI48" i="2"/>
  <c r="AJ48" i="2"/>
  <c r="AK48" i="2"/>
  <c r="AL48" i="2"/>
  <c r="AM48" i="2"/>
  <c r="AN48" i="2"/>
  <c r="AO48" i="2"/>
  <c r="AP48" i="2"/>
  <c r="AQ48" i="2"/>
  <c r="AR48" i="2"/>
  <c r="AS48" i="2"/>
  <c r="AT48" i="2"/>
  <c r="AU48" i="2"/>
  <c r="AV48" i="2"/>
  <c r="AW48" i="2"/>
  <c r="AX48" i="2"/>
  <c r="AY48" i="2"/>
  <c r="AZ48" i="2"/>
  <c r="BA48" i="2"/>
  <c r="BB48" i="2"/>
  <c r="BC48" i="2"/>
  <c r="BD48" i="2"/>
  <c r="BE48" i="2"/>
  <c r="BF48" i="2"/>
  <c r="BG48" i="2"/>
  <c r="BH48" i="2"/>
  <c r="BI48" i="2"/>
  <c r="BJ48" i="2"/>
  <c r="BK48" i="2"/>
  <c r="BL48" i="2"/>
  <c r="BM48" i="2"/>
  <c r="BN48" i="2"/>
  <c r="BO48" i="2"/>
  <c r="BP48" i="2"/>
  <c r="BQ48" i="2"/>
  <c r="BR48" i="2"/>
  <c r="BS48" i="2"/>
  <c r="BT48" i="2"/>
  <c r="BU48" i="2"/>
  <c r="BV48" i="2"/>
  <c r="BW48" i="2"/>
  <c r="BX48" i="2"/>
  <c r="BY48" i="2"/>
  <c r="BZ48" i="2"/>
  <c r="CA48" i="2"/>
  <c r="CB48" i="2"/>
  <c r="CC48" i="2"/>
  <c r="CD48" i="2"/>
  <c r="CE48" i="2"/>
  <c r="CF48" i="2"/>
  <c r="CG48" i="2"/>
  <c r="CH48" i="2"/>
  <c r="CI48" i="2"/>
  <c r="CJ48" i="2"/>
  <c r="CK48" i="2"/>
  <c r="CL48" i="2"/>
  <c r="C49" i="2"/>
  <c r="D49" i="2"/>
  <c r="E49" i="2"/>
  <c r="F49" i="2"/>
  <c r="G49" i="2"/>
  <c r="H49" i="2"/>
  <c r="I49" i="2"/>
  <c r="J49" i="2"/>
  <c r="K49" i="2"/>
  <c r="L49" i="2"/>
  <c r="M49" i="2"/>
  <c r="N49" i="2"/>
  <c r="O49" i="2"/>
  <c r="P49" i="2"/>
  <c r="Q49" i="2"/>
  <c r="R49" i="2"/>
  <c r="S49" i="2"/>
  <c r="T49" i="2"/>
  <c r="U49" i="2"/>
  <c r="V49" i="2"/>
  <c r="W49" i="2"/>
  <c r="X49" i="2"/>
  <c r="Y49" i="2"/>
  <c r="Z49" i="2"/>
  <c r="AA49" i="2"/>
  <c r="AB49" i="2"/>
  <c r="AC49" i="2"/>
  <c r="AD49" i="2"/>
  <c r="AE49" i="2"/>
  <c r="AF49" i="2"/>
  <c r="AG49" i="2"/>
  <c r="AH49" i="2"/>
  <c r="AI49" i="2"/>
  <c r="AJ49" i="2"/>
  <c r="AK49" i="2"/>
  <c r="AL49" i="2"/>
  <c r="AM49" i="2"/>
  <c r="AN49" i="2"/>
  <c r="AO49" i="2"/>
  <c r="AP49" i="2"/>
  <c r="AQ49" i="2"/>
  <c r="AR49" i="2"/>
  <c r="AS49" i="2"/>
  <c r="AT49" i="2"/>
  <c r="AU49" i="2"/>
  <c r="AV49" i="2"/>
  <c r="AW49" i="2"/>
  <c r="AX49" i="2"/>
  <c r="AY49" i="2"/>
  <c r="AZ49" i="2"/>
  <c r="BA49" i="2"/>
  <c r="BB49" i="2"/>
  <c r="BC49" i="2"/>
  <c r="BD49" i="2"/>
  <c r="BE49" i="2"/>
  <c r="BF49" i="2"/>
  <c r="BG49" i="2"/>
  <c r="BH49" i="2"/>
  <c r="BI49" i="2"/>
  <c r="BJ49" i="2"/>
  <c r="BK49" i="2"/>
  <c r="BL49" i="2"/>
  <c r="BM49" i="2"/>
  <c r="BN49" i="2"/>
  <c r="BO49" i="2"/>
  <c r="BP49" i="2"/>
  <c r="BQ49" i="2"/>
  <c r="BR49" i="2"/>
  <c r="BS49" i="2"/>
  <c r="BT49" i="2"/>
  <c r="BU49" i="2"/>
  <c r="BV49" i="2"/>
  <c r="BW49" i="2"/>
  <c r="BX49" i="2"/>
  <c r="BY49" i="2"/>
  <c r="BZ49" i="2"/>
  <c r="CA49" i="2"/>
  <c r="CB49" i="2"/>
  <c r="CC49" i="2"/>
  <c r="CD49" i="2"/>
  <c r="CE49" i="2"/>
  <c r="CF49" i="2"/>
  <c r="CG49" i="2"/>
  <c r="CH49" i="2"/>
  <c r="CI49" i="2"/>
  <c r="CJ49" i="2"/>
  <c r="CK49" i="2"/>
  <c r="CL49" i="2"/>
  <c r="C50" i="2"/>
  <c r="D50" i="2"/>
  <c r="E50" i="2"/>
  <c r="F50" i="2"/>
  <c r="G50" i="2"/>
  <c r="H50" i="2"/>
  <c r="I50" i="2"/>
  <c r="J50" i="2"/>
  <c r="K50" i="2"/>
  <c r="L50" i="2"/>
  <c r="M50" i="2"/>
  <c r="N50" i="2"/>
  <c r="O50" i="2"/>
  <c r="P50" i="2"/>
  <c r="Q50" i="2"/>
  <c r="R50" i="2"/>
  <c r="S50" i="2"/>
  <c r="T50" i="2"/>
  <c r="U50" i="2"/>
  <c r="V50" i="2"/>
  <c r="W50" i="2"/>
  <c r="X50" i="2"/>
  <c r="Y50" i="2"/>
  <c r="Z50" i="2"/>
  <c r="AA50" i="2"/>
  <c r="AB50" i="2"/>
  <c r="AC50" i="2"/>
  <c r="AD50" i="2"/>
  <c r="AE50" i="2"/>
  <c r="AF50" i="2"/>
  <c r="AG50" i="2"/>
  <c r="AH50" i="2"/>
  <c r="AI50" i="2"/>
  <c r="AJ50" i="2"/>
  <c r="AK50" i="2"/>
  <c r="AL50" i="2"/>
  <c r="AM50" i="2"/>
  <c r="AN50" i="2"/>
  <c r="AO50" i="2"/>
  <c r="AP50" i="2"/>
  <c r="AQ50" i="2"/>
  <c r="AR50" i="2"/>
  <c r="AS50" i="2"/>
  <c r="AT50" i="2"/>
  <c r="AU50" i="2"/>
  <c r="AV50" i="2"/>
  <c r="AW50" i="2"/>
  <c r="AX50" i="2"/>
  <c r="AY50" i="2"/>
  <c r="AZ50" i="2"/>
  <c r="BA50" i="2"/>
  <c r="BB50" i="2"/>
  <c r="BC50" i="2"/>
  <c r="BD50" i="2"/>
  <c r="BE50" i="2"/>
  <c r="BF50" i="2"/>
  <c r="BG50" i="2"/>
  <c r="BH50" i="2"/>
  <c r="BI50" i="2"/>
  <c r="BJ50" i="2"/>
  <c r="BK50" i="2"/>
  <c r="BL50" i="2"/>
  <c r="BM50" i="2"/>
  <c r="BN50" i="2"/>
  <c r="BO50" i="2"/>
  <c r="BP50" i="2"/>
  <c r="BQ50" i="2"/>
  <c r="BR50" i="2"/>
  <c r="BS50" i="2"/>
  <c r="BT50" i="2"/>
  <c r="BU50" i="2"/>
  <c r="BV50" i="2"/>
  <c r="BW50" i="2"/>
  <c r="BX50" i="2"/>
  <c r="BY50" i="2"/>
  <c r="BZ50" i="2"/>
  <c r="CA50" i="2"/>
  <c r="CB50" i="2"/>
  <c r="CC50" i="2"/>
  <c r="CD50" i="2"/>
  <c r="CE50" i="2"/>
  <c r="CF50" i="2"/>
  <c r="CG50" i="2"/>
  <c r="CH50" i="2"/>
  <c r="CI50" i="2"/>
  <c r="CJ50" i="2"/>
  <c r="CK50" i="2"/>
  <c r="CL50" i="2"/>
  <c r="C51" i="2"/>
  <c r="D51" i="2"/>
  <c r="E51" i="2"/>
  <c r="F51" i="2"/>
  <c r="G51" i="2"/>
  <c r="H51" i="2"/>
  <c r="I51" i="2"/>
  <c r="J51" i="2"/>
  <c r="K51" i="2"/>
  <c r="L51" i="2"/>
  <c r="M51" i="2"/>
  <c r="N51" i="2"/>
  <c r="O51" i="2"/>
  <c r="P51" i="2"/>
  <c r="Q51" i="2"/>
  <c r="R51" i="2"/>
  <c r="S51" i="2"/>
  <c r="T51" i="2"/>
  <c r="U51" i="2"/>
  <c r="V51" i="2"/>
  <c r="W51" i="2"/>
  <c r="X51" i="2"/>
  <c r="Y51" i="2"/>
  <c r="Z51" i="2"/>
  <c r="AA51" i="2"/>
  <c r="AB51" i="2"/>
  <c r="AC51" i="2"/>
  <c r="AD51" i="2"/>
  <c r="AE51" i="2"/>
  <c r="AF51" i="2"/>
  <c r="AG51" i="2"/>
  <c r="AH51" i="2"/>
  <c r="AI51" i="2"/>
  <c r="AJ51" i="2"/>
  <c r="AK51" i="2"/>
  <c r="AL51" i="2"/>
  <c r="AM51" i="2"/>
  <c r="AN51" i="2"/>
  <c r="AO51" i="2"/>
  <c r="AP51" i="2"/>
  <c r="AQ51" i="2"/>
  <c r="AR51" i="2"/>
  <c r="AS51" i="2"/>
  <c r="AT51" i="2"/>
  <c r="AU51" i="2"/>
  <c r="AV51" i="2"/>
  <c r="AW51" i="2"/>
  <c r="AX51" i="2"/>
  <c r="AY51" i="2"/>
  <c r="AZ51" i="2"/>
  <c r="BA51" i="2"/>
  <c r="BB51" i="2"/>
  <c r="BC51" i="2"/>
  <c r="BD51" i="2"/>
  <c r="BE51" i="2"/>
  <c r="BF51" i="2"/>
  <c r="BG51" i="2"/>
  <c r="BH51" i="2"/>
  <c r="BI51" i="2"/>
  <c r="BJ51" i="2"/>
  <c r="BK51" i="2"/>
  <c r="BL51" i="2"/>
  <c r="BM51" i="2"/>
  <c r="BN51" i="2"/>
  <c r="BO51" i="2"/>
  <c r="BP51" i="2"/>
  <c r="BQ51" i="2"/>
  <c r="BR51" i="2"/>
  <c r="BS51" i="2"/>
  <c r="BT51" i="2"/>
  <c r="BU51" i="2"/>
  <c r="BV51" i="2"/>
  <c r="BW51" i="2"/>
  <c r="BX51" i="2"/>
  <c r="BY51" i="2"/>
  <c r="BZ51" i="2"/>
  <c r="CA51" i="2"/>
  <c r="CB51" i="2"/>
  <c r="CC51" i="2"/>
  <c r="CD51" i="2"/>
  <c r="CE51" i="2"/>
  <c r="CF51" i="2"/>
  <c r="CG51" i="2"/>
  <c r="CH51" i="2"/>
  <c r="CI51" i="2"/>
  <c r="CJ51" i="2"/>
  <c r="CK51" i="2"/>
  <c r="CL51" i="2"/>
  <c r="C52" i="2"/>
  <c r="D52" i="2"/>
  <c r="E52" i="2"/>
  <c r="F52" i="2"/>
  <c r="G52" i="2"/>
  <c r="H52" i="2"/>
  <c r="I52" i="2"/>
  <c r="J52" i="2"/>
  <c r="K52" i="2"/>
  <c r="L52" i="2"/>
  <c r="M52" i="2"/>
  <c r="N52" i="2"/>
  <c r="O52" i="2"/>
  <c r="P52" i="2"/>
  <c r="Q52" i="2"/>
  <c r="R52" i="2"/>
  <c r="S52" i="2"/>
  <c r="T52" i="2"/>
  <c r="U52" i="2"/>
  <c r="V52" i="2"/>
  <c r="W52" i="2"/>
  <c r="X52" i="2"/>
  <c r="Y52" i="2"/>
  <c r="Z52" i="2"/>
  <c r="AA52" i="2"/>
  <c r="AB52" i="2"/>
  <c r="AC52" i="2"/>
  <c r="AD52" i="2"/>
  <c r="AE52" i="2"/>
  <c r="AF52" i="2"/>
  <c r="AG52" i="2"/>
  <c r="AH52" i="2"/>
  <c r="AI52" i="2"/>
  <c r="AJ52" i="2"/>
  <c r="AK52" i="2"/>
  <c r="AL52" i="2"/>
  <c r="AM52" i="2"/>
  <c r="AN52" i="2"/>
  <c r="AO52" i="2"/>
  <c r="AP52" i="2"/>
  <c r="AQ52" i="2"/>
  <c r="AR52" i="2"/>
  <c r="AS52" i="2"/>
  <c r="AT52" i="2"/>
  <c r="AU52" i="2"/>
  <c r="AV52" i="2"/>
  <c r="AW52" i="2"/>
  <c r="AX52" i="2"/>
  <c r="AY52" i="2"/>
  <c r="AZ52" i="2"/>
  <c r="BA52" i="2"/>
  <c r="BB52" i="2"/>
  <c r="BC52" i="2"/>
  <c r="BD52" i="2"/>
  <c r="BE52" i="2"/>
  <c r="BF52" i="2"/>
  <c r="BG52" i="2"/>
  <c r="BH52" i="2"/>
  <c r="BI52" i="2"/>
  <c r="BJ52" i="2"/>
  <c r="BK52" i="2"/>
  <c r="BL52" i="2"/>
  <c r="BM52" i="2"/>
  <c r="BN52" i="2"/>
  <c r="BO52" i="2"/>
  <c r="BP52" i="2"/>
  <c r="BQ52" i="2"/>
  <c r="BR52" i="2"/>
  <c r="BS52" i="2"/>
  <c r="BT52" i="2"/>
  <c r="BU52" i="2"/>
  <c r="BV52" i="2"/>
  <c r="BW52" i="2"/>
  <c r="BX52" i="2"/>
  <c r="BY52" i="2"/>
  <c r="BZ52" i="2"/>
  <c r="CA52" i="2"/>
  <c r="CB52" i="2"/>
  <c r="CC52" i="2"/>
  <c r="CD52" i="2"/>
  <c r="CE52" i="2"/>
  <c r="CF52" i="2"/>
  <c r="CG52" i="2"/>
  <c r="CH52" i="2"/>
  <c r="CI52" i="2"/>
  <c r="CJ52" i="2"/>
  <c r="CK52" i="2"/>
  <c r="CL52" i="2"/>
  <c r="C53" i="2"/>
  <c r="D53" i="2"/>
  <c r="E53" i="2"/>
  <c r="F53" i="2"/>
  <c r="G53" i="2"/>
  <c r="H53" i="2"/>
  <c r="I53" i="2"/>
  <c r="J53" i="2"/>
  <c r="K53" i="2"/>
  <c r="L53" i="2"/>
  <c r="M53" i="2"/>
  <c r="N53" i="2"/>
  <c r="O53" i="2"/>
  <c r="P53" i="2"/>
  <c r="Q53" i="2"/>
  <c r="R53" i="2"/>
  <c r="S53" i="2"/>
  <c r="T53" i="2"/>
  <c r="U53" i="2"/>
  <c r="V53" i="2"/>
  <c r="W53" i="2"/>
  <c r="X53" i="2"/>
  <c r="Y53" i="2"/>
  <c r="Z53" i="2"/>
  <c r="AA53" i="2"/>
  <c r="AB53" i="2"/>
  <c r="AC53" i="2"/>
  <c r="AD53" i="2"/>
  <c r="AE53" i="2"/>
  <c r="AF53" i="2"/>
  <c r="AG53" i="2"/>
  <c r="AH53" i="2"/>
  <c r="AI53" i="2"/>
  <c r="AJ53" i="2"/>
  <c r="AK53" i="2"/>
  <c r="AL53" i="2"/>
  <c r="AM53" i="2"/>
  <c r="AN53" i="2"/>
  <c r="AO53" i="2"/>
  <c r="AP53" i="2"/>
  <c r="AQ53" i="2"/>
  <c r="AR53" i="2"/>
  <c r="AS53" i="2"/>
  <c r="AT53" i="2"/>
  <c r="AU53" i="2"/>
  <c r="AV53" i="2"/>
  <c r="AW53" i="2"/>
  <c r="AX53" i="2"/>
  <c r="AY53" i="2"/>
  <c r="AZ53" i="2"/>
  <c r="BA53" i="2"/>
  <c r="BB53" i="2"/>
  <c r="BC53" i="2"/>
  <c r="BD53" i="2"/>
  <c r="BE53" i="2"/>
  <c r="BF53" i="2"/>
  <c r="BG53" i="2"/>
  <c r="BH53" i="2"/>
  <c r="BI53" i="2"/>
  <c r="BJ53" i="2"/>
  <c r="BK53" i="2"/>
  <c r="BL53" i="2"/>
  <c r="BM53" i="2"/>
  <c r="BN53" i="2"/>
  <c r="BO53" i="2"/>
  <c r="BP53" i="2"/>
  <c r="BQ53" i="2"/>
  <c r="BR53" i="2"/>
  <c r="BS53" i="2"/>
  <c r="BT53" i="2"/>
  <c r="BU53" i="2"/>
  <c r="BV53" i="2"/>
  <c r="BW53" i="2"/>
  <c r="BX53" i="2"/>
  <c r="BY53" i="2"/>
  <c r="BZ53" i="2"/>
  <c r="CA53" i="2"/>
  <c r="CB53" i="2"/>
  <c r="CC53" i="2"/>
  <c r="CD53" i="2"/>
  <c r="CE53" i="2"/>
  <c r="CF53" i="2"/>
  <c r="CG53" i="2"/>
  <c r="CH53" i="2"/>
  <c r="CI53" i="2"/>
  <c r="CJ53" i="2"/>
  <c r="CK53" i="2"/>
  <c r="CL53" i="2"/>
  <c r="C54" i="2"/>
  <c r="D54" i="2"/>
  <c r="E54" i="2"/>
  <c r="F54" i="2"/>
  <c r="G54" i="2"/>
  <c r="H54" i="2"/>
  <c r="I54" i="2"/>
  <c r="J54" i="2"/>
  <c r="K54" i="2"/>
  <c r="L54" i="2"/>
  <c r="M54" i="2"/>
  <c r="N54" i="2"/>
  <c r="O54" i="2"/>
  <c r="P54" i="2"/>
  <c r="Q54" i="2"/>
  <c r="R54" i="2"/>
  <c r="S54" i="2"/>
  <c r="T54" i="2"/>
  <c r="U54" i="2"/>
  <c r="V54" i="2"/>
  <c r="W54" i="2"/>
  <c r="X54" i="2"/>
  <c r="Y54" i="2"/>
  <c r="Z54" i="2"/>
  <c r="AA54" i="2"/>
  <c r="AB54" i="2"/>
  <c r="AC54" i="2"/>
  <c r="AD54" i="2"/>
  <c r="AE54" i="2"/>
  <c r="AF54" i="2"/>
  <c r="AG54" i="2"/>
  <c r="AH54" i="2"/>
  <c r="AI54" i="2"/>
  <c r="AJ54" i="2"/>
  <c r="AK54" i="2"/>
  <c r="AL54" i="2"/>
  <c r="AM54" i="2"/>
  <c r="AN54" i="2"/>
  <c r="AO54" i="2"/>
  <c r="AP54" i="2"/>
  <c r="AQ54" i="2"/>
  <c r="AR54" i="2"/>
  <c r="AS54" i="2"/>
  <c r="AT54" i="2"/>
  <c r="AU54" i="2"/>
  <c r="AV54" i="2"/>
  <c r="AW54" i="2"/>
  <c r="AX54" i="2"/>
  <c r="AY54" i="2"/>
  <c r="AZ54" i="2"/>
  <c r="BA54" i="2"/>
  <c r="BB54" i="2"/>
  <c r="BC54" i="2"/>
  <c r="BD54" i="2"/>
  <c r="BE54" i="2"/>
  <c r="BF54" i="2"/>
  <c r="BG54" i="2"/>
  <c r="BH54" i="2"/>
  <c r="BI54" i="2"/>
  <c r="BJ54" i="2"/>
  <c r="BK54" i="2"/>
  <c r="BL54" i="2"/>
  <c r="BM54" i="2"/>
  <c r="BN54" i="2"/>
  <c r="BO54" i="2"/>
  <c r="BP54" i="2"/>
  <c r="BQ54" i="2"/>
  <c r="BR54" i="2"/>
  <c r="BS54" i="2"/>
  <c r="BT54" i="2"/>
  <c r="BU54" i="2"/>
  <c r="BV54" i="2"/>
  <c r="BW54" i="2"/>
  <c r="BX54" i="2"/>
  <c r="BY54" i="2"/>
  <c r="BZ54" i="2"/>
  <c r="CA54" i="2"/>
  <c r="CB54" i="2"/>
  <c r="CC54" i="2"/>
  <c r="CD54" i="2"/>
  <c r="CE54" i="2"/>
  <c r="CF54" i="2"/>
  <c r="CG54" i="2"/>
  <c r="CH54" i="2"/>
  <c r="CI54" i="2"/>
  <c r="CJ54" i="2"/>
  <c r="CK54" i="2"/>
  <c r="CL54" i="2"/>
  <c r="C55" i="2"/>
  <c r="D55" i="2"/>
  <c r="E55" i="2"/>
  <c r="F55" i="2"/>
  <c r="G55" i="2"/>
  <c r="H55" i="2"/>
  <c r="I55" i="2"/>
  <c r="J55" i="2"/>
  <c r="K55" i="2"/>
  <c r="L55" i="2"/>
  <c r="M55" i="2"/>
  <c r="N55" i="2"/>
  <c r="O55" i="2"/>
  <c r="P55" i="2"/>
  <c r="Q55" i="2"/>
  <c r="R55" i="2"/>
  <c r="S55" i="2"/>
  <c r="T55" i="2"/>
  <c r="U55" i="2"/>
  <c r="V55" i="2"/>
  <c r="W55" i="2"/>
  <c r="X55" i="2"/>
  <c r="Y55" i="2"/>
  <c r="Z55" i="2"/>
  <c r="AA55" i="2"/>
  <c r="AB55" i="2"/>
  <c r="AC55" i="2"/>
  <c r="AD55" i="2"/>
  <c r="AE55" i="2"/>
  <c r="AF55" i="2"/>
  <c r="AG55" i="2"/>
  <c r="AH55" i="2"/>
  <c r="AI55" i="2"/>
  <c r="AJ55" i="2"/>
  <c r="AK55" i="2"/>
  <c r="AL55" i="2"/>
  <c r="AM55" i="2"/>
  <c r="AN55" i="2"/>
  <c r="AO55" i="2"/>
  <c r="AP55" i="2"/>
  <c r="AQ55" i="2"/>
  <c r="AR55" i="2"/>
  <c r="AS55" i="2"/>
  <c r="AT55" i="2"/>
  <c r="AU55" i="2"/>
  <c r="AV55" i="2"/>
  <c r="AW55" i="2"/>
  <c r="AX55" i="2"/>
  <c r="AY55" i="2"/>
  <c r="AZ55" i="2"/>
  <c r="BA55" i="2"/>
  <c r="BB55" i="2"/>
  <c r="BC55" i="2"/>
  <c r="BD55" i="2"/>
  <c r="BE55" i="2"/>
  <c r="BF55" i="2"/>
  <c r="BG55" i="2"/>
  <c r="BH55" i="2"/>
  <c r="BI55" i="2"/>
  <c r="BJ55" i="2"/>
  <c r="BK55" i="2"/>
  <c r="BL55" i="2"/>
  <c r="BM55" i="2"/>
  <c r="BN55" i="2"/>
  <c r="BO55" i="2"/>
  <c r="BP55" i="2"/>
  <c r="BQ55" i="2"/>
  <c r="BR55" i="2"/>
  <c r="BS55" i="2"/>
  <c r="BT55" i="2"/>
  <c r="BU55" i="2"/>
  <c r="BV55" i="2"/>
  <c r="BW55" i="2"/>
  <c r="BX55" i="2"/>
  <c r="BY55" i="2"/>
  <c r="BZ55" i="2"/>
  <c r="CA55" i="2"/>
  <c r="CB55" i="2"/>
  <c r="CC55" i="2"/>
  <c r="CD55" i="2"/>
  <c r="CE55" i="2"/>
  <c r="CF55" i="2"/>
  <c r="CG55" i="2"/>
  <c r="CH55" i="2"/>
  <c r="CI55" i="2"/>
  <c r="CJ55" i="2"/>
  <c r="CK55" i="2"/>
  <c r="CL55" i="2"/>
  <c r="C56" i="2"/>
  <c r="D56" i="2"/>
  <c r="E56" i="2"/>
  <c r="F56" i="2"/>
  <c r="G56" i="2"/>
  <c r="H56" i="2"/>
  <c r="I56"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AL56" i="2"/>
  <c r="AM56" i="2"/>
  <c r="AN56" i="2"/>
  <c r="AO56" i="2"/>
  <c r="AP56" i="2"/>
  <c r="AQ56" i="2"/>
  <c r="AR56" i="2"/>
  <c r="AS56" i="2"/>
  <c r="AT56" i="2"/>
  <c r="AU56" i="2"/>
  <c r="AV56" i="2"/>
  <c r="AW56" i="2"/>
  <c r="AX56" i="2"/>
  <c r="AY56" i="2"/>
  <c r="AZ56" i="2"/>
  <c r="BA56" i="2"/>
  <c r="BB56" i="2"/>
  <c r="BC56" i="2"/>
  <c r="BD56" i="2"/>
  <c r="BE56" i="2"/>
  <c r="BF56" i="2"/>
  <c r="BG56" i="2"/>
  <c r="BH56" i="2"/>
  <c r="BI56" i="2"/>
  <c r="BJ56" i="2"/>
  <c r="BK56" i="2"/>
  <c r="BL56" i="2"/>
  <c r="BM56" i="2"/>
  <c r="BN56" i="2"/>
  <c r="BO56" i="2"/>
  <c r="BP56" i="2"/>
  <c r="BQ56" i="2"/>
  <c r="BR56" i="2"/>
  <c r="BS56" i="2"/>
  <c r="BT56" i="2"/>
  <c r="BU56" i="2"/>
  <c r="BV56" i="2"/>
  <c r="BW56" i="2"/>
  <c r="BX56" i="2"/>
  <c r="BY56" i="2"/>
  <c r="BZ56" i="2"/>
  <c r="CA56" i="2"/>
  <c r="CB56" i="2"/>
  <c r="CC56" i="2"/>
  <c r="CD56" i="2"/>
  <c r="CE56" i="2"/>
  <c r="CF56" i="2"/>
  <c r="CG56" i="2"/>
  <c r="CH56" i="2"/>
  <c r="CI56" i="2"/>
  <c r="CJ56" i="2"/>
  <c r="CK56" i="2"/>
  <c r="CL56" i="2"/>
  <c r="C57" i="2"/>
  <c r="D57" i="2"/>
  <c r="E57" i="2"/>
  <c r="F57" i="2"/>
  <c r="G57" i="2"/>
  <c r="H57" i="2"/>
  <c r="I57" i="2"/>
  <c r="J57" i="2"/>
  <c r="K57" i="2"/>
  <c r="L57" i="2"/>
  <c r="M57" i="2"/>
  <c r="N57" i="2"/>
  <c r="O57" i="2"/>
  <c r="P57" i="2"/>
  <c r="Q57" i="2"/>
  <c r="R57" i="2"/>
  <c r="S57" i="2"/>
  <c r="T57" i="2"/>
  <c r="U57" i="2"/>
  <c r="V57" i="2"/>
  <c r="W57" i="2"/>
  <c r="X57" i="2"/>
  <c r="Y57" i="2"/>
  <c r="Z57" i="2"/>
  <c r="AA57" i="2"/>
  <c r="AB57" i="2"/>
  <c r="AC57" i="2"/>
  <c r="AD57" i="2"/>
  <c r="AE57" i="2"/>
  <c r="AF57" i="2"/>
  <c r="AG57" i="2"/>
  <c r="AH57" i="2"/>
  <c r="AI57" i="2"/>
  <c r="AJ57" i="2"/>
  <c r="AK57" i="2"/>
  <c r="AL57" i="2"/>
  <c r="AM57" i="2"/>
  <c r="AN57" i="2"/>
  <c r="AO57" i="2"/>
  <c r="AP57" i="2"/>
  <c r="AQ57" i="2"/>
  <c r="AR57" i="2"/>
  <c r="AS57" i="2"/>
  <c r="AT57" i="2"/>
  <c r="AU57" i="2"/>
  <c r="AV57" i="2"/>
  <c r="AW57" i="2"/>
  <c r="AX57" i="2"/>
  <c r="AY57" i="2"/>
  <c r="AZ57" i="2"/>
  <c r="BA57" i="2"/>
  <c r="BB57" i="2"/>
  <c r="BC57" i="2"/>
  <c r="BD57" i="2"/>
  <c r="BE57" i="2"/>
  <c r="BF57" i="2"/>
  <c r="BG57" i="2"/>
  <c r="BH57" i="2"/>
  <c r="BI57" i="2"/>
  <c r="BJ57" i="2"/>
  <c r="BK57" i="2"/>
  <c r="BL57" i="2"/>
  <c r="BM57" i="2"/>
  <c r="BN57" i="2"/>
  <c r="BO57" i="2"/>
  <c r="BP57" i="2"/>
  <c r="BQ57" i="2"/>
  <c r="BR57" i="2"/>
  <c r="BS57" i="2"/>
  <c r="BT57" i="2"/>
  <c r="BU57" i="2"/>
  <c r="BV57" i="2"/>
  <c r="BW57" i="2"/>
  <c r="BX57" i="2"/>
  <c r="BY57" i="2"/>
  <c r="BZ57" i="2"/>
  <c r="CA57" i="2"/>
  <c r="CB57" i="2"/>
  <c r="CC57" i="2"/>
  <c r="CD57" i="2"/>
  <c r="CE57" i="2"/>
  <c r="CF57" i="2"/>
  <c r="CG57" i="2"/>
  <c r="CH57" i="2"/>
  <c r="CI57" i="2"/>
  <c r="CJ57" i="2"/>
  <c r="CK57" i="2"/>
  <c r="CL57" i="2"/>
</calcChain>
</file>

<file path=xl/sharedStrings.xml><?xml version="1.0" encoding="utf-8"?>
<sst xmlns="http://schemas.openxmlformats.org/spreadsheetml/2006/main" count="243" uniqueCount="164">
  <si>
    <t>Brownsville Arts Center and Apartments</t>
  </si>
  <si>
    <t>Buildings of Excellence Round 3</t>
  </si>
  <si>
    <t>Castle III</t>
  </si>
  <si>
    <t>Shore Hill Development</t>
  </si>
  <si>
    <t>Parcel 7</t>
  </si>
  <si>
    <t>The Variety Boys &amp; Girls Club Redevelopment Project</t>
  </si>
  <si>
    <t>THE RESIDENCES at Sterlington</t>
  </si>
  <si>
    <t>The Lafayette Apartments</t>
  </si>
  <si>
    <t>Magnolia Gardens</t>
  </si>
  <si>
    <t>Livonia C3 Senior Affordable Housing</t>
  </si>
  <si>
    <t>Highbridge</t>
  </si>
  <si>
    <t>EcoFlats at Log City Phase I</t>
  </si>
  <si>
    <t>439 West 36th Street + 489-501 9th Avenue</t>
  </si>
  <si>
    <t xml:space="preserve">1818 Fifth Ave. Passive House </t>
  </si>
  <si>
    <t>32 Walker</t>
  </si>
  <si>
    <t>West Side Homes</t>
  </si>
  <si>
    <t>Buildings of Excellence Round 2</t>
  </si>
  <si>
    <t>Court Square Sustainable Luxury Re-Imagined</t>
  </si>
  <si>
    <t>Linden Boulevard Phase III BOE</t>
  </si>
  <si>
    <t>Dekalb Commons</t>
  </si>
  <si>
    <t>Baird Road Apartments R2</t>
  </si>
  <si>
    <t>Hudson Green</t>
  </si>
  <si>
    <t>The Seventy Six Building C</t>
  </si>
  <si>
    <t>Solara Apartments Phase III</t>
  </si>
  <si>
    <t>The Rise</t>
  </si>
  <si>
    <t>Great Oaks Mixed Use Eco-Park: Building 150</t>
  </si>
  <si>
    <t>Johnson Park Green Community Apartments (aka JPA VII)</t>
  </si>
  <si>
    <t>Colonial II Apartments Revitalization</t>
  </si>
  <si>
    <t>Cooper Park Commons - Building 2</t>
  </si>
  <si>
    <t>Bethany Terraces Senior Houses</t>
  </si>
  <si>
    <t>Westgate Apartments</t>
  </si>
  <si>
    <t>Buildings of Excellence Round 1</t>
  </si>
  <si>
    <t>Village Grove</t>
  </si>
  <si>
    <t>HELP ONE</t>
  </si>
  <si>
    <t>Zero Place</t>
  </si>
  <si>
    <t>Engine 16</t>
  </si>
  <si>
    <t>La Central Building C</t>
  </si>
  <si>
    <t xml:space="preserve">515 East 86th Street </t>
  </si>
  <si>
    <t xml:space="preserve">Perdita Flats </t>
  </si>
  <si>
    <t xml:space="preserve">Park Avenue Green </t>
  </si>
  <si>
    <t>North Miller Passive Multifamily</t>
  </si>
  <si>
    <t>St. Marks Passive House</t>
  </si>
  <si>
    <t>Affordable and Sustainable Multifamily Housing for City of Hudson</t>
  </si>
  <si>
    <t>425 Grand Concourse</t>
  </si>
  <si>
    <t>Sendero Verde Building A</t>
  </si>
  <si>
    <t>Geneva Solar Village</t>
  </si>
  <si>
    <t>The Seventy-Six Phase 1</t>
  </si>
  <si>
    <t>Creekview Apartments Phase II</t>
  </si>
  <si>
    <t xml:space="preserve">2050 Grand Concourse </t>
  </si>
  <si>
    <t>Linden Grove</t>
  </si>
  <si>
    <t>Solara Phase 2</t>
  </si>
  <si>
    <t>Flow Chelsea 211 West 29th Street</t>
  </si>
  <si>
    <t>Park Haven</t>
  </si>
  <si>
    <t>Rheingold Senior Housing</t>
  </si>
  <si>
    <t>Tree of Life</t>
  </si>
  <si>
    <t>STREET SMART, 369 MANHATTAN AVENUE</t>
  </si>
  <si>
    <t>Bushwick Alliance</t>
  </si>
  <si>
    <t>1182 Woodycrest Development</t>
  </si>
  <si>
    <t>Linden Boulevard Phase II</t>
  </si>
  <si>
    <t>Baseline Calculated Cost After Credits and Incentives</t>
  </si>
  <si>
    <t>Baseline TAX CREDIT</t>
  </si>
  <si>
    <t>Baseline AWARD</t>
  </si>
  <si>
    <t>Baseline INCENTIVE</t>
  </si>
  <si>
    <t>Baseline  Calculated Cost Before Credits and Incentives</t>
  </si>
  <si>
    <t>Baseline Non-Performance Related</t>
  </si>
  <si>
    <t>Baseline Other Performance Related Cost</t>
  </si>
  <si>
    <t>Baseline Testing Inspection Cost</t>
  </si>
  <si>
    <t>Baseline Smart Building Cost</t>
  </si>
  <si>
    <t xml:space="preserve">Baseline Lighting Cost </t>
  </si>
  <si>
    <t>Baseline Generation Cost</t>
  </si>
  <si>
    <t>Baseline Appliance Cost</t>
  </si>
  <si>
    <t>Baseline DHW Cost</t>
  </si>
  <si>
    <t>Baseline Envelope Cost</t>
  </si>
  <si>
    <t>Baseline HVAC Cost</t>
  </si>
  <si>
    <t>Calculated Cost After Credits and Incentives</t>
  </si>
  <si>
    <t>TAX CREDIT TOTAL</t>
  </si>
  <si>
    <t>TAX CREDIT HOMEBUILDER EE (45L)</t>
  </si>
  <si>
    <t>TAX CREDIT COMMERCIAL BUILDING (179D)</t>
  </si>
  <si>
    <t>TAX CREDIT Geothermal</t>
  </si>
  <si>
    <t>TAX CREDIT PV (State and Federal)</t>
  </si>
  <si>
    <t xml:space="preserve">TAX CREDIT Depreciation </t>
  </si>
  <si>
    <t xml:space="preserve">AWARD
Buildings of Excellence </t>
  </si>
  <si>
    <t>INCENTIVE TOTAL</t>
  </si>
  <si>
    <t>INCENTIVE NYS Clean Heat</t>
  </si>
  <si>
    <t>INCENTIVE EV</t>
  </si>
  <si>
    <t>Incentive GSHP</t>
  </si>
  <si>
    <t>INCENTIVE NYSERDA Solar Thermal</t>
  </si>
  <si>
    <t>INCENTIVE NYSERDA RTEM</t>
  </si>
  <si>
    <t>INCENTIVE NYSERDA NYSUN</t>
  </si>
  <si>
    <t>INCENTIVE NYSERDA NCP</t>
  </si>
  <si>
    <t>Calculated Cost Before Credits and Incentives</t>
  </si>
  <si>
    <t>Non-Performance Related Cost</t>
  </si>
  <si>
    <t>Other Performance Related Cost</t>
  </si>
  <si>
    <t>Testing Inspection Cost</t>
  </si>
  <si>
    <t>Smart Building Cost</t>
  </si>
  <si>
    <t xml:space="preserve">Lighting Cost </t>
  </si>
  <si>
    <t>Generation Cost</t>
  </si>
  <si>
    <t>Appliance Cost</t>
  </si>
  <si>
    <t>DHW Cost</t>
  </si>
  <si>
    <t>Envelope Cost</t>
  </si>
  <si>
    <t>HVAC Cost</t>
  </si>
  <si>
    <t>Source Energy (with renewables)/SQFT (kBtu)</t>
  </si>
  <si>
    <t>Annual Energy Cost/SQFT</t>
  </si>
  <si>
    <t xml:space="preserve"> Annual Design Energy Cost</t>
  </si>
  <si>
    <t>% Renewable Energy</t>
  </si>
  <si>
    <t>Source Energy Design with Renewables (kbtu/year)</t>
  </si>
  <si>
    <t>Source Energy Design without Renewables (kBtu/year)</t>
  </si>
  <si>
    <t>Mixed Use</t>
  </si>
  <si>
    <t>DEC Env. Justice</t>
  </si>
  <si>
    <t>Baseline Code</t>
  </si>
  <si>
    <t>New Construction/Gut Rehab</t>
  </si>
  <si>
    <t>Gas Appliances (non-DHW)</t>
  </si>
  <si>
    <t>Climate Zone</t>
  </si>
  <si>
    <t>Solar Thermal Backup</t>
  </si>
  <si>
    <t>Natural Gas Heat</t>
  </si>
  <si>
    <t>EV Charging</t>
  </si>
  <si>
    <t>PV</t>
  </si>
  <si>
    <t>Height Classification</t>
  </si>
  <si>
    <t>LED/Daylighting</t>
  </si>
  <si>
    <t>DHW</t>
  </si>
  <si>
    <t>Ventilation</t>
  </si>
  <si>
    <t>Space Conditioning</t>
  </si>
  <si>
    <t xml:space="preserve">Building Structure </t>
  </si>
  <si>
    <t xml:space="preserve">High Performance Envelope </t>
  </si>
  <si>
    <t>LMI</t>
  </si>
  <si>
    <t>All Electric</t>
  </si>
  <si>
    <t>REDC Region</t>
  </si>
  <si>
    <t xml:space="preserve">Performance Path </t>
  </si>
  <si>
    <t>Dwelling Units</t>
  </si>
  <si>
    <t>Stories</t>
  </si>
  <si>
    <t>Buildings</t>
  </si>
  <si>
    <t>Residential SQFT</t>
  </si>
  <si>
    <t>Total Building SQFT</t>
  </si>
  <si>
    <t>PV System Notes</t>
  </si>
  <si>
    <t>PV - System Size (kbtu/year)</t>
  </si>
  <si>
    <t>Calculated % Incremental Cost (after credits and incentives)</t>
  </si>
  <si>
    <t>Calculated Incremental Cost Per Sqft. (after credits and incentives)</t>
  </si>
  <si>
    <t>Calculated Incremental Cost 
(after credits and incentives)</t>
  </si>
  <si>
    <t>Calculated NYSERDA Incentive/Proposal Building Cost</t>
  </si>
  <si>
    <t>Anticipated NYSERDA Incentives And Tax Credits</t>
  </si>
  <si>
    <t>Calculated  % Incremental Cost (before credits and incentives)</t>
  </si>
  <si>
    <t>Calculated Incremental Cost Per Sqft. (before credits and incentives)</t>
  </si>
  <si>
    <t xml:space="preserve">Estimated Incremental Cost (before credits and incentives) </t>
  </si>
  <si>
    <t>Cost Per Total Sqft.</t>
  </si>
  <si>
    <t xml:space="preserve">Building Only Cost </t>
  </si>
  <si>
    <t>Project Stage</t>
  </si>
  <si>
    <t>Information Stage</t>
  </si>
  <si>
    <t>Project</t>
  </si>
  <si>
    <t>Project Grouping</t>
  </si>
  <si>
    <t>Grand Total</t>
  </si>
  <si>
    <t xml:space="preserve"> AWARD</t>
  </si>
  <si>
    <t xml:space="preserve"> TAX CREDIT TOTAL</t>
  </si>
  <si>
    <t xml:space="preserve"> INCENTIVE TOTAL</t>
  </si>
  <si>
    <t xml:space="preserve"> Non-Performance Related Cost</t>
  </si>
  <si>
    <t xml:space="preserve"> Other Performance Related Cost</t>
  </si>
  <si>
    <t xml:space="preserve"> Testing Inspection Cost</t>
  </si>
  <si>
    <t xml:space="preserve"> Smart Building Cost</t>
  </si>
  <si>
    <t xml:space="preserve"> Lighting Cost </t>
  </si>
  <si>
    <t xml:space="preserve"> Generation Cost</t>
  </si>
  <si>
    <t xml:space="preserve"> Appliance Cost</t>
  </si>
  <si>
    <t xml:space="preserve"> DHW Cost</t>
  </si>
  <si>
    <t xml:space="preserve"> HVAC Cost</t>
  </si>
  <si>
    <t xml:space="preserve"> Envelope Cost</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</si>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</sst>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
    <numFmt numFmtId="166" formatCode="0.0%"/>
  </numFmts>
  <fonts count="5" x14ac:knownFonts="1">
    <font>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BCEEA"/>
        <bgColor indexed="64"/>
      </patternFill>
    </fill>
    <fill>
      <patternFill patternType="solid">
        <fgColor rgb="FFA9ACDF"/>
        <bgColor indexed="64"/>
      </patternFill>
    </fill>
    <fill>
      <patternFill patternType="solid">
        <fgColor rgb="FFCCCEEC"/>
        <bgColor indexed="64"/>
      </patternFill>
    </fill>
    <fill>
      <patternFill patternType="solid">
        <fgColor rgb="FFBEE395"/>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33">
    <xf numFmtId="0" fontId="0" fillId="0" borderId="0" xfId="0"/>
    <xf numFmtId="0" fontId="2" fillId="0" borderId="0" xfId="0" applyFont="1" applyAlignment="1">
      <alignment wrapText="1"/>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2" fillId="0" borderId="0" xfId="0" applyFont="1" applyAlignment="1">
      <alignment horizont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1" xfId="1"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166" fontId="2" fillId="0" borderId="1" xfId="0" applyNumberFormat="1" applyFont="1" applyBorder="1" applyAlignment="1">
      <alignment horizontal="center" vertical="center" wrapText="1"/>
    </xf>
    <xf numFmtId="8" fontId="2" fillId="0" borderId="1"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165" fontId="1"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165" fontId="0" fillId="0" borderId="0" xfId="0" applyNumberFormat="1"/>
    <xf numFmtId="0" fontId="0" fillId="0" borderId="0" xfId="0" applyAlignment="1">
      <alignment horizontal="left"/>
    </xf>
    <xf numFmtId="0" fontId="0" fillId="0" borderId="0" xfId="0" pivotButton="1"/>
  </cellXfs>
  <cellStyles count="2">
    <cellStyle name="Normal" xfId="0" builtinId="0"/>
    <cellStyle name="Normal 2" xfId="1" xr:uid="{66D5EC2B-CF96-43B3-A785-2F6DB2A0C60C}"/>
  </cellStyles>
  <dxfs count="2">
    <dxf>
      <numFmt numFmtId="165" formatCode="&quot;$&quot;#,##0"/>
    </dxf>
    <dxf>
      <numFmt numFmtId="165"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[BOE Cost Data 2.6- BOE Round 1, 2, and 3.xlsx]Project Cost Chart!PivotTable1</c:name>
    <c:fmtId val="1"/>
  </c:pivotSource>
  <c:chart>
    <c:autoTitleDeleted val="0"/>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'Project Cost Chart'!$B$1</c:f>
              <c:strCache>
                <c:ptCount val="1"/>
                <c:pt idx="0">
                  <c:v> Envelope Cost</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Chart'!$B$2:$B$28</c:f>
              <c:numCache>
                <c:formatCode>"$"#,##0</c:formatCode>
                <c:ptCount val="26"/>
                <c:pt idx="0">
                  <c:v>1130801.5899999999</c:v>
                </c:pt>
                <c:pt idx="1">
                  <c:v>4967658.2130019991</c:v>
                </c:pt>
                <c:pt idx="2">
                  <c:v>22898351.84</c:v>
                </c:pt>
                <c:pt idx="3">
                  <c:v>16052777</c:v>
                </c:pt>
                <c:pt idx="4">
                  <c:v>2359448</c:v>
                </c:pt>
                <c:pt idx="5">
                  <c:v>1096000</c:v>
                </c:pt>
                <c:pt idx="6">
                  <c:v>7230000</c:v>
                </c:pt>
                <c:pt idx="7">
                  <c:v>2859020.71</c:v>
                </c:pt>
                <c:pt idx="8">
                  <c:v>5414207.7699999996</c:v>
                </c:pt>
                <c:pt idx="9">
                  <c:v>823994</c:v>
                </c:pt>
                <c:pt idx="10">
                  <c:v>13820490</c:v>
                </c:pt>
                <c:pt idx="11">
                  <c:v>2407694.9310000003</c:v>
                </c:pt>
                <c:pt idx="12">
                  <c:v>6779865.4409556938</c:v>
                </c:pt>
                <c:pt idx="13">
                  <c:v>96977.91</c:v>
                </c:pt>
                <c:pt idx="14">
                  <c:v>4079691.16</c:v>
                </c:pt>
                <c:pt idx="15">
                  <c:v>8918168</c:v>
                </c:pt>
                <c:pt idx="16">
                  <c:v>64925.8</c:v>
                </c:pt>
                <c:pt idx="17">
                  <c:v>5651719.0199999996</c:v>
                </c:pt>
                <c:pt idx="18">
                  <c:v>1158315</c:v>
                </c:pt>
                <c:pt idx="19">
                  <c:v>884237</c:v>
                </c:pt>
                <c:pt idx="20">
                  <c:v>1286500</c:v>
                </c:pt>
                <c:pt idx="21">
                  <c:v>2579052</c:v>
                </c:pt>
                <c:pt idx="22">
                  <c:v>8908493.25</c:v>
                </c:pt>
                <c:pt idx="23">
                  <c:v>2770500</c:v>
                </c:pt>
                <c:pt idx="24">
                  <c:v>4104825.5599999996</c:v>
                </c:pt>
                <c:pt idx="25">
                  <c:v>1101500</c:v>
                </c:pt>
              </c:numCache>
            </c:numRef>
          </c:val>
          <c:extLst>
            <c:ext xmlns:c16="http://schemas.microsoft.com/office/drawing/2014/chart" uri="{C3380CC4-5D6E-409C-BE32-E72D297353CC}">
              <c16:uniqueId val="{00000000-C62D-4273-8D03-25264A3AA456}"/>
            </c:ext>
          </c:extLst>
        </c:ser>
        <c:ser>
          <c:idx val="1"/>
          <c:order val="1"/>
          <c:tx>
            <c:strRef>
              <c:f>'Project Cost Chart'!$C$1</c:f>
              <c:strCache>
                <c:ptCount val="1"/>
                <c:pt idx="0">
                  <c:v> HVAC Cost</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Chart'!$C$2:$C$28</c:f>
              <c:numCache>
                <c:formatCode>"$"#,##0</c:formatCode>
                <c:ptCount val="26"/>
                <c:pt idx="0">
                  <c:v>879051</c:v>
                </c:pt>
                <c:pt idx="1">
                  <c:v>1592848.1643980001</c:v>
                </c:pt>
                <c:pt idx="2">
                  <c:v>6998906</c:v>
                </c:pt>
                <c:pt idx="3">
                  <c:v>3168000</c:v>
                </c:pt>
                <c:pt idx="4">
                  <c:v>1068480</c:v>
                </c:pt>
                <c:pt idx="5">
                  <c:v>3357410</c:v>
                </c:pt>
                <c:pt idx="6">
                  <c:v>2925000</c:v>
                </c:pt>
                <c:pt idx="7">
                  <c:v>245125</c:v>
                </c:pt>
                <c:pt idx="8">
                  <c:v>1755748.5</c:v>
                </c:pt>
                <c:pt idx="9">
                  <c:v>520783</c:v>
                </c:pt>
                <c:pt idx="10">
                  <c:v>3860000</c:v>
                </c:pt>
                <c:pt idx="11">
                  <c:v>2900092.81</c:v>
                </c:pt>
                <c:pt idx="12">
                  <c:v>5074592.0401127683</c:v>
                </c:pt>
                <c:pt idx="13">
                  <c:v>8539.65</c:v>
                </c:pt>
                <c:pt idx="14">
                  <c:v>3770484.94</c:v>
                </c:pt>
                <c:pt idx="15">
                  <c:v>2028100</c:v>
                </c:pt>
                <c:pt idx="16">
                  <c:v>30000</c:v>
                </c:pt>
                <c:pt idx="17">
                  <c:v>1965400</c:v>
                </c:pt>
                <c:pt idx="18">
                  <c:v>575523</c:v>
                </c:pt>
                <c:pt idx="19">
                  <c:v>575523</c:v>
                </c:pt>
                <c:pt idx="20">
                  <c:v>275000</c:v>
                </c:pt>
                <c:pt idx="21">
                  <c:v>2922400</c:v>
                </c:pt>
                <c:pt idx="22">
                  <c:v>366127.82999999996</c:v>
                </c:pt>
                <c:pt idx="23">
                  <c:v>1174200</c:v>
                </c:pt>
                <c:pt idx="24">
                  <c:v>695077</c:v>
                </c:pt>
                <c:pt idx="25">
                  <c:v>1100000</c:v>
                </c:pt>
              </c:numCache>
            </c:numRef>
          </c:val>
          <c:extLst>
            <c:ext xmlns:c16="http://schemas.microsoft.com/office/drawing/2014/chart" uri="{C3380CC4-5D6E-409C-BE32-E72D297353CC}">
              <c16:uniqueId val="{00000001-C62D-4273-8D03-25264A3AA456}"/>
            </c:ext>
          </c:extLst>
        </c:ser>
        <c:ser>
          <c:idx val="2"/>
          <c:order val="2"/>
          <c:tx>
            <c:strRef>
              <c:f>'Project Cost Chart'!$D$1</c:f>
              <c:strCache>
                <c:ptCount val="1"/>
                <c:pt idx="0">
                  <c:v> DHW Cost</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Chart'!$D$2:$D$28</c:f>
              <c:numCache>
                <c:formatCode>"$"#,##0</c:formatCode>
                <c:ptCount val="26"/>
                <c:pt idx="0">
                  <c:v>240000</c:v>
                </c:pt>
                <c:pt idx="1">
                  <c:v>1059435.67</c:v>
                </c:pt>
                <c:pt idx="2">
                  <c:v>6106206</c:v>
                </c:pt>
                <c:pt idx="3">
                  <c:v>307000</c:v>
                </c:pt>
                <c:pt idx="4">
                  <c:v>740740</c:v>
                </c:pt>
                <c:pt idx="5">
                  <c:v>1467133</c:v>
                </c:pt>
                <c:pt idx="6">
                  <c:v>1050000</c:v>
                </c:pt>
                <c:pt idx="7">
                  <c:v>153472</c:v>
                </c:pt>
                <c:pt idx="8">
                  <c:v>356582</c:v>
                </c:pt>
                <c:pt idx="9">
                  <c:v>73950</c:v>
                </c:pt>
                <c:pt idx="10">
                  <c:v>1521600</c:v>
                </c:pt>
                <c:pt idx="11">
                  <c:v>1545000</c:v>
                </c:pt>
                <c:pt idx="12">
                  <c:v>3559889.2908018893</c:v>
                </c:pt>
                <c:pt idx="13">
                  <c:v>5400</c:v>
                </c:pt>
                <c:pt idx="14">
                  <c:v>3048214.42</c:v>
                </c:pt>
                <c:pt idx="15">
                  <c:v>91500</c:v>
                </c:pt>
                <c:pt idx="16">
                  <c:v>12400</c:v>
                </c:pt>
                <c:pt idx="17">
                  <c:v>1791250</c:v>
                </c:pt>
                <c:pt idx="18">
                  <c:v>60000</c:v>
                </c:pt>
                <c:pt idx="19">
                  <c:v>60000</c:v>
                </c:pt>
                <c:pt idx="20">
                  <c:v>105000</c:v>
                </c:pt>
                <c:pt idx="21">
                  <c:v>300000</c:v>
                </c:pt>
                <c:pt idx="22">
                  <c:v>575000</c:v>
                </c:pt>
                <c:pt idx="23">
                  <c:v>320280</c:v>
                </c:pt>
                <c:pt idx="24">
                  <c:v>1134500</c:v>
                </c:pt>
                <c:pt idx="25">
                  <c:v>50000</c:v>
                </c:pt>
              </c:numCache>
            </c:numRef>
          </c:val>
          <c:extLst>
            <c:ext xmlns:c16="http://schemas.microsoft.com/office/drawing/2014/chart" uri="{C3380CC4-5D6E-409C-BE32-E72D297353CC}">
              <c16:uniqueId val="{00000002-C62D-4273-8D03-25264A3AA456}"/>
            </c:ext>
          </c:extLst>
        </c:ser>
        <c:ser>
          <c:idx val="3"/>
          <c:order val="3"/>
          <c:tx>
            <c:strRef>
              <c:f>'Project Cost Chart'!$E$1</c:f>
              <c:strCache>
                <c:ptCount val="1"/>
                <c:pt idx="0">
                  <c:v> Appliance Cost</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Chart'!$E$2:$E$28</c:f>
              <c:numCache>
                <c:formatCode>"$"#,##0</c:formatCode>
                <c:ptCount val="26"/>
                <c:pt idx="0">
                  <c:v>140736</c:v>
                </c:pt>
                <c:pt idx="1">
                  <c:v>183414</c:v>
                </c:pt>
                <c:pt idx="2">
                  <c:v>434701</c:v>
                </c:pt>
                <c:pt idx="3">
                  <c:v>788116</c:v>
                </c:pt>
                <c:pt idx="4">
                  <c:v>357200</c:v>
                </c:pt>
                <c:pt idx="5">
                  <c:v>169375</c:v>
                </c:pt>
                <c:pt idx="6">
                  <c:v>151700</c:v>
                </c:pt>
                <c:pt idx="7">
                  <c:v>69500</c:v>
                </c:pt>
                <c:pt idx="8">
                  <c:v>462963.94</c:v>
                </c:pt>
                <c:pt idx="9">
                  <c:v>410325</c:v>
                </c:pt>
                <c:pt idx="10">
                  <c:v>291269</c:v>
                </c:pt>
                <c:pt idx="11">
                  <c:v>374147</c:v>
                </c:pt>
                <c:pt idx="12">
                  <c:v>572717.54664717428</c:v>
                </c:pt>
                <c:pt idx="13">
                  <c:v>7000</c:v>
                </c:pt>
                <c:pt idx="14">
                  <c:v>63526</c:v>
                </c:pt>
                <c:pt idx="15">
                  <c:v>404336</c:v>
                </c:pt>
                <c:pt idx="16">
                  <c:v>21000</c:v>
                </c:pt>
                <c:pt idx="17">
                  <c:v>239216.96</c:v>
                </c:pt>
                <c:pt idx="18">
                  <c:v>293556</c:v>
                </c:pt>
                <c:pt idx="19">
                  <c:v>299400</c:v>
                </c:pt>
                <c:pt idx="20">
                  <c:v>120000</c:v>
                </c:pt>
                <c:pt idx="21">
                  <c:v>212800</c:v>
                </c:pt>
                <c:pt idx="22">
                  <c:v>625000</c:v>
                </c:pt>
                <c:pt idx="23">
                  <c:v>30642.95</c:v>
                </c:pt>
                <c:pt idx="24">
                  <c:v>99865</c:v>
                </c:pt>
                <c:pt idx="25">
                  <c:v>110630</c:v>
                </c:pt>
              </c:numCache>
            </c:numRef>
          </c:val>
          <c:extLst>
            <c:ext xmlns:c16="http://schemas.microsoft.com/office/drawing/2014/chart" uri="{C3380CC4-5D6E-409C-BE32-E72D297353CC}">
              <c16:uniqueId val="{00000003-C62D-4273-8D03-25264A3AA456}"/>
            </c:ext>
          </c:extLst>
        </c:ser>
        <c:ser>
          <c:idx val="4"/>
          <c:order val="4"/>
          <c:tx>
            <c:strRef>
              <c:f>'Project Cost Chart'!$F$1</c:f>
              <c:strCache>
                <c:ptCount val="1"/>
                <c:pt idx="0">
                  <c:v> Generation Cost</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Chart'!$F$2:$F$28</c:f>
              <c:numCache>
                <c:formatCode>"$"#,##0</c:formatCode>
                <c:ptCount val="26"/>
                <c:pt idx="0">
                  <c:v>0</c:v>
                </c:pt>
                <c:pt idx="1">
                  <c:v>254596.04</c:v>
                </c:pt>
                <c:pt idx="2">
                  <c:v>0</c:v>
                </c:pt>
                <c:pt idx="3">
                  <c:v>3072683</c:v>
                </c:pt>
                <c:pt idx="4">
                  <c:v>679542</c:v>
                </c:pt>
                <c:pt idx="5">
                  <c:v>505440</c:v>
                </c:pt>
                <c:pt idx="6">
                  <c:v>374500</c:v>
                </c:pt>
                <c:pt idx="7">
                  <c:v>39415</c:v>
                </c:pt>
                <c:pt idx="8">
                  <c:v>157000</c:v>
                </c:pt>
                <c:pt idx="9">
                  <c:v>571158</c:v>
                </c:pt>
                <c:pt idx="10">
                  <c:v>263398</c:v>
                </c:pt>
                <c:pt idx="11">
                  <c:v>411400</c:v>
                </c:pt>
                <c:pt idx="12">
                  <c:v>232500</c:v>
                </c:pt>
                <c:pt idx="13">
                  <c:v>27815</c:v>
                </c:pt>
                <c:pt idx="14">
                  <c:v>682830</c:v>
                </c:pt>
                <c:pt idx="15">
                  <c:v>339261</c:v>
                </c:pt>
                <c:pt idx="16">
                  <c:v>34600</c:v>
                </c:pt>
                <c:pt idx="17">
                  <c:v>2535918.75</c:v>
                </c:pt>
                <c:pt idx="18">
                  <c:v>678000</c:v>
                </c:pt>
                <c:pt idx="19">
                  <c:v>678000</c:v>
                </c:pt>
                <c:pt idx="20">
                  <c:v>40000</c:v>
                </c:pt>
                <c:pt idx="21">
                  <c:v>273845</c:v>
                </c:pt>
                <c:pt idx="22">
                  <c:v>679194.51</c:v>
                </c:pt>
                <c:pt idx="23">
                  <c:v>0</c:v>
                </c:pt>
                <c:pt idx="24">
                  <c:v>119136.74</c:v>
                </c:pt>
                <c:pt idx="25">
                  <c:v>475000</c:v>
                </c:pt>
              </c:numCache>
            </c:numRef>
          </c:val>
          <c:extLst>
            <c:ext xmlns:c16="http://schemas.microsoft.com/office/drawing/2014/chart" uri="{C3380CC4-5D6E-409C-BE32-E72D297353CC}">
              <c16:uniqueId val="{00000004-C62D-4273-8D03-25264A3AA456}"/>
            </c:ext>
          </c:extLst>
        </c:ser>
        <c:ser>
          <c:idx val="5"/>
          <c:order val="5"/>
          <c:tx>
            <c:strRef>
              <c:f>'Project Cost Chart'!$G$1</c:f>
              <c:strCache>
                <c:ptCount val="1"/>
                <c:pt idx="0">
                  <c:v> Lighting Cost </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Chart'!$G$2:$G$28</c:f>
              <c:numCache>
                <c:formatCode>"$"#,##0</c:formatCode>
                <c:ptCount val="26"/>
                <c:pt idx="0">
                  <c:v>200000</c:v>
                </c:pt>
                <c:pt idx="1">
                  <c:v>807248.03250000044</c:v>
                </c:pt>
                <c:pt idx="2">
                  <c:v>617156</c:v>
                </c:pt>
                <c:pt idx="3">
                  <c:v>553272</c:v>
                </c:pt>
                <c:pt idx="4">
                  <c:v>1711476</c:v>
                </c:pt>
                <c:pt idx="5">
                  <c:v>2335100</c:v>
                </c:pt>
                <c:pt idx="6">
                  <c:v>340000</c:v>
                </c:pt>
                <c:pt idx="7">
                  <c:v>41750</c:v>
                </c:pt>
                <c:pt idx="8">
                  <c:v>246715.67</c:v>
                </c:pt>
                <c:pt idx="9">
                  <c:v>41511</c:v>
                </c:pt>
                <c:pt idx="10">
                  <c:v>468693</c:v>
                </c:pt>
                <c:pt idx="11">
                  <c:v>281632.424</c:v>
                </c:pt>
                <c:pt idx="12">
                  <c:v>400000</c:v>
                </c:pt>
                <c:pt idx="13">
                  <c:v>2147.13</c:v>
                </c:pt>
                <c:pt idx="14">
                  <c:v>141119.70000000001</c:v>
                </c:pt>
                <c:pt idx="15">
                  <c:v>639515.63</c:v>
                </c:pt>
                <c:pt idx="16">
                  <c:v>750</c:v>
                </c:pt>
                <c:pt idx="17">
                  <c:v>294500</c:v>
                </c:pt>
                <c:pt idx="18">
                  <c:v>51000</c:v>
                </c:pt>
                <c:pt idx="19">
                  <c:v>51000</c:v>
                </c:pt>
                <c:pt idx="20">
                  <c:v>80000</c:v>
                </c:pt>
                <c:pt idx="21">
                  <c:v>280000</c:v>
                </c:pt>
                <c:pt idx="22">
                  <c:v>300000</c:v>
                </c:pt>
                <c:pt idx="23">
                  <c:v>888684</c:v>
                </c:pt>
                <c:pt idx="24">
                  <c:v>1135010</c:v>
                </c:pt>
                <c:pt idx="25">
                  <c:v>10000</c:v>
                </c:pt>
              </c:numCache>
            </c:numRef>
          </c:val>
          <c:extLst>
            <c:ext xmlns:c16="http://schemas.microsoft.com/office/drawing/2014/chart" uri="{C3380CC4-5D6E-409C-BE32-E72D297353CC}">
              <c16:uniqueId val="{00000005-C62D-4273-8D03-25264A3AA456}"/>
            </c:ext>
          </c:extLst>
        </c:ser>
        <c:ser>
          <c:idx val="6"/>
          <c:order val="6"/>
          <c:tx>
            <c:strRef>
              <c:f>'Project Cost Chart'!$H$1</c:f>
              <c:strCache>
                <c:ptCount val="1"/>
                <c:pt idx="0">
                  <c:v> Smart Building Cost</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Chart'!$H$2:$H$28</c:f>
              <c:numCache>
                <c:formatCode>"$"#,##0</c:formatCode>
                <c:ptCount val="26"/>
                <c:pt idx="0">
                  <c:v>0</c:v>
                </c:pt>
                <c:pt idx="1">
                  <c:v>325541.73</c:v>
                </c:pt>
                <c:pt idx="2">
                  <c:v>0</c:v>
                </c:pt>
                <c:pt idx="3">
                  <c:v>0</c:v>
                </c:pt>
                <c:pt idx="4">
                  <c:v>0</c:v>
                </c:pt>
                <c:pt idx="5">
                  <c:v>0</c:v>
                </c:pt>
                <c:pt idx="6">
                  <c:v>0</c:v>
                </c:pt>
                <c:pt idx="7">
                  <c:v>0</c:v>
                </c:pt>
                <c:pt idx="8">
                  <c:v>50000</c:v>
                </c:pt>
                <c:pt idx="9">
                  <c:v>0</c:v>
                </c:pt>
                <c:pt idx="10">
                  <c:v>0</c:v>
                </c:pt>
                <c:pt idx="11">
                  <c:v>0</c:v>
                </c:pt>
                <c:pt idx="12">
                  <c:v>0</c:v>
                </c:pt>
                <c:pt idx="13">
                  <c:v>2300</c:v>
                </c:pt>
                <c:pt idx="14">
                  <c:v>365000</c:v>
                </c:pt>
                <c:pt idx="15">
                  <c:v>403739.06</c:v>
                </c:pt>
                <c:pt idx="16">
                  <c:v>0</c:v>
                </c:pt>
                <c:pt idx="17">
                  <c:v>0</c:v>
                </c:pt>
                <c:pt idx="18">
                  <c:v>45000</c:v>
                </c:pt>
                <c:pt idx="19">
                  <c:v>45000</c:v>
                </c:pt>
                <c:pt idx="20">
                  <c:v>0</c:v>
                </c:pt>
                <c:pt idx="21">
                  <c:v>0</c:v>
                </c:pt>
                <c:pt idx="22">
                  <c:v>0</c:v>
                </c:pt>
                <c:pt idx="23">
                  <c:v>0</c:v>
                </c:pt>
                <c:pt idx="24">
                  <c:v>0</c:v>
                </c:pt>
                <c:pt idx="25">
                  <c:v>215000</c:v>
                </c:pt>
              </c:numCache>
            </c:numRef>
          </c:val>
          <c:extLst>
            <c:ext xmlns:c16="http://schemas.microsoft.com/office/drawing/2014/chart" uri="{C3380CC4-5D6E-409C-BE32-E72D297353CC}">
              <c16:uniqueId val="{00000006-C62D-4273-8D03-25264A3AA456}"/>
            </c:ext>
          </c:extLst>
        </c:ser>
        <c:ser>
          <c:idx val="7"/>
          <c:order val="7"/>
          <c:tx>
            <c:strRef>
              <c:f>'Project Cost Chart'!$I$1</c:f>
              <c:strCache>
                <c:ptCount val="1"/>
                <c:pt idx="0">
                  <c:v> Testing Inspection Cost</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Chart'!$I$2:$I$28</c:f>
              <c:numCache>
                <c:formatCode>"$"#,##0</c:formatCode>
                <c:ptCount val="26"/>
                <c:pt idx="0">
                  <c:v>0</c:v>
                </c:pt>
                <c:pt idx="1">
                  <c:v>689125</c:v>
                </c:pt>
                <c:pt idx="2">
                  <c:v>546700</c:v>
                </c:pt>
                <c:pt idx="3">
                  <c:v>0</c:v>
                </c:pt>
                <c:pt idx="4">
                  <c:v>580375</c:v>
                </c:pt>
                <c:pt idx="5">
                  <c:v>0</c:v>
                </c:pt>
                <c:pt idx="6">
                  <c:v>0</c:v>
                </c:pt>
                <c:pt idx="7">
                  <c:v>0</c:v>
                </c:pt>
                <c:pt idx="8">
                  <c:v>53050</c:v>
                </c:pt>
                <c:pt idx="9">
                  <c:v>0</c:v>
                </c:pt>
                <c:pt idx="10">
                  <c:v>142906</c:v>
                </c:pt>
                <c:pt idx="11">
                  <c:v>37000</c:v>
                </c:pt>
                <c:pt idx="12">
                  <c:v>189900</c:v>
                </c:pt>
                <c:pt idx="13">
                  <c:v>7650</c:v>
                </c:pt>
                <c:pt idx="14">
                  <c:v>73675</c:v>
                </c:pt>
                <c:pt idx="15">
                  <c:v>45775</c:v>
                </c:pt>
                <c:pt idx="16">
                  <c:v>0</c:v>
                </c:pt>
                <c:pt idx="17">
                  <c:v>310000</c:v>
                </c:pt>
                <c:pt idx="18">
                  <c:v>22372</c:v>
                </c:pt>
                <c:pt idx="19">
                  <c:v>20826</c:v>
                </c:pt>
                <c:pt idx="20">
                  <c:v>0</c:v>
                </c:pt>
                <c:pt idx="21">
                  <c:v>0</c:v>
                </c:pt>
                <c:pt idx="22">
                  <c:v>0</c:v>
                </c:pt>
                <c:pt idx="23">
                  <c:v>0</c:v>
                </c:pt>
                <c:pt idx="24">
                  <c:v>0</c:v>
                </c:pt>
                <c:pt idx="25">
                  <c:v>45000</c:v>
                </c:pt>
              </c:numCache>
            </c:numRef>
          </c:val>
          <c:extLst>
            <c:ext xmlns:c16="http://schemas.microsoft.com/office/drawing/2014/chart" uri="{C3380CC4-5D6E-409C-BE32-E72D297353CC}">
              <c16:uniqueId val="{00000007-C62D-4273-8D03-25264A3AA456}"/>
            </c:ext>
          </c:extLst>
        </c:ser>
        <c:ser>
          <c:idx val="8"/>
          <c:order val="8"/>
          <c:tx>
            <c:strRef>
              <c:f>'Project Cost Chart'!$J$1</c:f>
              <c:strCache>
                <c:ptCount val="1"/>
                <c:pt idx="0">
                  <c:v> Other Performance Related Cost</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Chart'!$J$2:$J$28</c:f>
              <c:numCache>
                <c:formatCode>"$"#,##0</c:formatCode>
                <c:ptCount val="26"/>
                <c:pt idx="0">
                  <c:v>645948</c:v>
                </c:pt>
                <c:pt idx="1">
                  <c:v>502235.25</c:v>
                </c:pt>
                <c:pt idx="2">
                  <c:v>50300</c:v>
                </c:pt>
                <c:pt idx="3">
                  <c:v>7001039.7062499998</c:v>
                </c:pt>
                <c:pt idx="4">
                  <c:v>0</c:v>
                </c:pt>
                <c:pt idx="5">
                  <c:v>0</c:v>
                </c:pt>
                <c:pt idx="6">
                  <c:v>2283800</c:v>
                </c:pt>
                <c:pt idx="7">
                  <c:v>423479.42</c:v>
                </c:pt>
                <c:pt idx="8">
                  <c:v>198249.76</c:v>
                </c:pt>
                <c:pt idx="9">
                  <c:v>64637.931034482703</c:v>
                </c:pt>
                <c:pt idx="10">
                  <c:v>0</c:v>
                </c:pt>
                <c:pt idx="11">
                  <c:v>1742800</c:v>
                </c:pt>
                <c:pt idx="12">
                  <c:v>0</c:v>
                </c:pt>
                <c:pt idx="13">
                  <c:v>5000</c:v>
                </c:pt>
                <c:pt idx="14">
                  <c:v>0</c:v>
                </c:pt>
                <c:pt idx="15">
                  <c:v>100000</c:v>
                </c:pt>
                <c:pt idx="16">
                  <c:v>0</c:v>
                </c:pt>
                <c:pt idx="17">
                  <c:v>2405000</c:v>
                </c:pt>
                <c:pt idx="18">
                  <c:v>131321</c:v>
                </c:pt>
                <c:pt idx="19">
                  <c:v>0</c:v>
                </c:pt>
                <c:pt idx="20">
                  <c:v>186730</c:v>
                </c:pt>
                <c:pt idx="21">
                  <c:v>260966</c:v>
                </c:pt>
                <c:pt idx="22">
                  <c:v>1195947.3</c:v>
                </c:pt>
                <c:pt idx="23">
                  <c:v>1189475</c:v>
                </c:pt>
                <c:pt idx="24">
                  <c:v>224844.69387755101</c:v>
                </c:pt>
                <c:pt idx="25">
                  <c:v>0</c:v>
                </c:pt>
              </c:numCache>
            </c:numRef>
          </c:val>
          <c:extLst>
            <c:ext xmlns:c16="http://schemas.microsoft.com/office/drawing/2014/chart" uri="{C3380CC4-5D6E-409C-BE32-E72D297353CC}">
              <c16:uniqueId val="{00000008-C62D-4273-8D03-25264A3AA456}"/>
            </c:ext>
          </c:extLst>
        </c:ser>
        <c:ser>
          <c:idx val="9"/>
          <c:order val="9"/>
          <c:tx>
            <c:strRef>
              <c:f>'Project Cost Chart'!$K$1</c:f>
              <c:strCache>
                <c:ptCount val="1"/>
                <c:pt idx="0">
                  <c:v> Non-Performance Related Cost</c:v>
                </c:pt>
              </c:strCache>
            </c:strRef>
          </c:tx>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Chart'!$K$2:$K$28</c:f>
              <c:numCache>
                <c:formatCode>"$"#,##0</c:formatCode>
                <c:ptCount val="26"/>
                <c:pt idx="0">
                  <c:v>12128463.810000001</c:v>
                </c:pt>
                <c:pt idx="1">
                  <c:v>43460922.156889021</c:v>
                </c:pt>
                <c:pt idx="2">
                  <c:v>84887679.159999996</c:v>
                </c:pt>
                <c:pt idx="3">
                  <c:v>25917381.706250001</c:v>
                </c:pt>
                <c:pt idx="4">
                  <c:v>16517486</c:v>
                </c:pt>
                <c:pt idx="5">
                  <c:v>15804978</c:v>
                </c:pt>
                <c:pt idx="6">
                  <c:v>42507863.5</c:v>
                </c:pt>
                <c:pt idx="7">
                  <c:v>7052230.21</c:v>
                </c:pt>
                <c:pt idx="8">
                  <c:v>18820784.210000005</c:v>
                </c:pt>
                <c:pt idx="9">
                  <c:v>11648847</c:v>
                </c:pt>
                <c:pt idx="10">
                  <c:v>50797762.190000005</c:v>
                </c:pt>
                <c:pt idx="11">
                  <c:v>42929555.668200001</c:v>
                </c:pt>
                <c:pt idx="12">
                  <c:v>82895592.980247587</c:v>
                </c:pt>
                <c:pt idx="13">
                  <c:v>289777.65999999997</c:v>
                </c:pt>
                <c:pt idx="14">
                  <c:v>35399236.420000002</c:v>
                </c:pt>
                <c:pt idx="15">
                  <c:v>81164882.149999991</c:v>
                </c:pt>
                <c:pt idx="16">
                  <c:v>500484.2</c:v>
                </c:pt>
                <c:pt idx="17">
                  <c:v>41171001.610000007</c:v>
                </c:pt>
                <c:pt idx="18">
                  <c:v>10040663.949999999</c:v>
                </c:pt>
                <c:pt idx="19">
                  <c:v>8280460</c:v>
                </c:pt>
                <c:pt idx="20">
                  <c:v>3887850</c:v>
                </c:pt>
                <c:pt idx="21">
                  <c:v>43128939.450000003</c:v>
                </c:pt>
                <c:pt idx="22">
                  <c:v>55205071.239999987</c:v>
                </c:pt>
                <c:pt idx="23">
                  <c:v>7697481.8899999997</c:v>
                </c:pt>
                <c:pt idx="24">
                  <c:v>7763945.8999999994</c:v>
                </c:pt>
                <c:pt idx="25">
                  <c:v>7440183</c:v>
                </c:pt>
              </c:numCache>
            </c:numRef>
          </c:val>
          <c:extLst>
            <c:ext xmlns:c16="http://schemas.microsoft.com/office/drawing/2014/chart" uri="{C3380CC4-5D6E-409C-BE32-E72D297353CC}">
              <c16:uniqueId val="{00000009-C62D-4273-8D03-25264A3AA456}"/>
            </c:ext>
          </c:extLst>
        </c:ser>
        <c:ser>
          <c:idx val="10"/>
          <c:order val="10"/>
          <c:tx>
            <c:strRef>
              <c:f>'Project Cost Chart'!$L$1</c:f>
              <c:strCache>
                <c:ptCount val="1"/>
                <c:pt idx="0">
                  <c:v> INCENTIVE TOTAL</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Chart'!$L$2:$L$28</c:f>
              <c:numCache>
                <c:formatCode>"$"#,##0</c:formatCode>
                <c:ptCount val="26"/>
                <c:pt idx="0">
                  <c:v>-169700</c:v>
                </c:pt>
                <c:pt idx="1">
                  <c:v>-235624</c:v>
                </c:pt>
                <c:pt idx="2">
                  <c:v>-300000</c:v>
                </c:pt>
                <c:pt idx="3">
                  <c:v>-99617.8</c:v>
                </c:pt>
                <c:pt idx="4">
                  <c:v>-414103</c:v>
                </c:pt>
                <c:pt idx="5">
                  <c:v>-459000</c:v>
                </c:pt>
                <c:pt idx="6">
                  <c:v>-619232</c:v>
                </c:pt>
                <c:pt idx="7">
                  <c:v>-6400</c:v>
                </c:pt>
                <c:pt idx="8">
                  <c:v>-145660</c:v>
                </c:pt>
                <c:pt idx="9">
                  <c:v>-978000</c:v>
                </c:pt>
                <c:pt idx="10">
                  <c:v>-300000</c:v>
                </c:pt>
                <c:pt idx="11">
                  <c:v>-555000</c:v>
                </c:pt>
                <c:pt idx="12">
                  <c:v>-700000</c:v>
                </c:pt>
                <c:pt idx="13">
                  <c:v>-12600</c:v>
                </c:pt>
                <c:pt idx="14">
                  <c:v>-270600</c:v>
                </c:pt>
                <c:pt idx="15">
                  <c:v>-508200</c:v>
                </c:pt>
                <c:pt idx="16">
                  <c:v>-6400</c:v>
                </c:pt>
                <c:pt idx="17">
                  <c:v>-339240</c:v>
                </c:pt>
                <c:pt idx="18">
                  <c:v>-587500</c:v>
                </c:pt>
                <c:pt idx="19">
                  <c:v>-571050</c:v>
                </c:pt>
                <c:pt idx="20">
                  <c:v>-13608</c:v>
                </c:pt>
                <c:pt idx="21">
                  <c:v>-279680</c:v>
                </c:pt>
                <c:pt idx="22">
                  <c:v>-320000</c:v>
                </c:pt>
                <c:pt idx="23">
                  <c:v>-513976</c:v>
                </c:pt>
                <c:pt idx="24">
                  <c:v>-115819</c:v>
                </c:pt>
                <c:pt idx="25">
                  <c:v>-315040</c:v>
                </c:pt>
              </c:numCache>
            </c:numRef>
          </c:val>
          <c:extLst>
            <c:ext xmlns:c16="http://schemas.microsoft.com/office/drawing/2014/chart" uri="{C3380CC4-5D6E-409C-BE32-E72D297353CC}">
              <c16:uniqueId val="{0000000A-C62D-4273-8D03-25264A3AA456}"/>
            </c:ext>
          </c:extLst>
        </c:ser>
        <c:ser>
          <c:idx val="11"/>
          <c:order val="11"/>
          <c:tx>
            <c:strRef>
              <c:f>'Project Cost Chart'!$M$1</c:f>
              <c:strCache>
                <c:ptCount val="1"/>
                <c:pt idx="0">
                  <c:v> TAX CREDIT TOTAL</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Chart'!$M$2:$M$28</c:f>
              <c:numCache>
                <c:formatCode>"$"#,##0</c:formatCode>
                <c:ptCount val="26"/>
                <c:pt idx="0">
                  <c:v>0</c:v>
                </c:pt>
                <c:pt idx="1">
                  <c:v>-55599</c:v>
                </c:pt>
                <c:pt idx="2">
                  <c:v>0</c:v>
                </c:pt>
                <c:pt idx="3">
                  <c:v>0</c:v>
                </c:pt>
                <c:pt idx="4">
                  <c:v>-142814</c:v>
                </c:pt>
                <c:pt idx="5">
                  <c:v>-990064</c:v>
                </c:pt>
                <c:pt idx="6">
                  <c:v>-111363</c:v>
                </c:pt>
                <c:pt idx="7">
                  <c:v>-19088</c:v>
                </c:pt>
                <c:pt idx="8">
                  <c:v>-49394</c:v>
                </c:pt>
                <c:pt idx="9">
                  <c:v>-140885</c:v>
                </c:pt>
                <c:pt idx="10">
                  <c:v>0</c:v>
                </c:pt>
                <c:pt idx="11">
                  <c:v>0</c:v>
                </c:pt>
                <c:pt idx="12">
                  <c:v>-100000</c:v>
                </c:pt>
                <c:pt idx="13">
                  <c:v>-14255</c:v>
                </c:pt>
                <c:pt idx="14">
                  <c:v>-20400</c:v>
                </c:pt>
                <c:pt idx="15">
                  <c:v>0</c:v>
                </c:pt>
                <c:pt idx="16">
                  <c:v>-14933</c:v>
                </c:pt>
                <c:pt idx="17">
                  <c:v>-52250</c:v>
                </c:pt>
                <c:pt idx="18">
                  <c:v>-415800</c:v>
                </c:pt>
                <c:pt idx="19">
                  <c:v>-283035</c:v>
                </c:pt>
                <c:pt idx="20">
                  <c:v>-29906</c:v>
                </c:pt>
                <c:pt idx="21">
                  <c:v>0</c:v>
                </c:pt>
                <c:pt idx="22">
                  <c:v>-185526</c:v>
                </c:pt>
                <c:pt idx="23">
                  <c:v>0</c:v>
                </c:pt>
                <c:pt idx="24">
                  <c:v>-27878</c:v>
                </c:pt>
                <c:pt idx="25">
                  <c:v>-313400</c:v>
                </c:pt>
              </c:numCache>
            </c:numRef>
          </c:val>
          <c:extLst>
            <c:ext xmlns:c16="http://schemas.microsoft.com/office/drawing/2014/chart" uri="{C3380CC4-5D6E-409C-BE32-E72D297353CC}">
              <c16:uniqueId val="{0000000B-C62D-4273-8D03-25264A3AA456}"/>
            </c:ext>
          </c:extLst>
        </c:ser>
        <c:ser>
          <c:idx val="12"/>
          <c:order val="12"/>
          <c:tx>
            <c:strRef>
              <c:f>'Project Cost Chart'!$N$1</c:f>
              <c:strCache>
                <c:ptCount val="1"/>
                <c:pt idx="0">
                  <c:v> AWARD</c:v>
                </c:pt>
              </c:strCache>
            </c:strRef>
          </c:tx>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c:spPr>
          <c:invertIfNegative val="0"/>
          <c:cat>
            <c:strRef>
              <c:f>'Project Cost Chart'!$A$2:$A$28</c:f>
              <c:strCache>
                <c:ptCount val="26"/>
                <c:pt idx="0">
                  <c:v>1182 Woodycrest Development</c:v>
                </c:pt>
                <c:pt idx="1">
                  <c:v>2050 Grand Concourse </c:v>
                </c:pt>
                <c:pt idx="2">
                  <c:v>425 Grand Concourse</c:v>
                </c:pt>
                <c:pt idx="3">
                  <c:v>515 East 86th Street </c:v>
                </c:pt>
                <c:pt idx="4">
                  <c:v>Baird Road Apartments R2</c:v>
                </c:pt>
                <c:pt idx="5">
                  <c:v>Colonial II Apartments Revitalization</c:v>
                </c:pt>
                <c:pt idx="6">
                  <c:v>Dekalb Commons</c:v>
                </c:pt>
                <c:pt idx="7">
                  <c:v>Engine 16</c:v>
                </c:pt>
                <c:pt idx="8">
                  <c:v>Flow Chelsea 211 West 29th Street</c:v>
                </c:pt>
                <c:pt idx="9">
                  <c:v>Geneva Solar Village</c:v>
                </c:pt>
                <c:pt idx="10">
                  <c:v>HELP ONE</c:v>
                </c:pt>
                <c:pt idx="11">
                  <c:v>Hudson Green</c:v>
                </c:pt>
                <c:pt idx="12">
                  <c:v>Linden Grove</c:v>
                </c:pt>
                <c:pt idx="13">
                  <c:v>North Miller Passive Multifamily</c:v>
                </c:pt>
                <c:pt idx="14">
                  <c:v>Park Avenue Green </c:v>
                </c:pt>
                <c:pt idx="15">
                  <c:v>Park Haven</c:v>
                </c:pt>
                <c:pt idx="16">
                  <c:v>Perdita Flats </c:v>
                </c:pt>
                <c:pt idx="17">
                  <c:v>Rheingold Senior Housing</c:v>
                </c:pt>
                <c:pt idx="18">
                  <c:v>Solara Apartments Phase III</c:v>
                </c:pt>
                <c:pt idx="19">
                  <c:v>Solara Phase 2</c:v>
                </c:pt>
                <c:pt idx="20">
                  <c:v>St. Marks Passive House</c:v>
                </c:pt>
                <c:pt idx="21">
                  <c:v>The Rise</c:v>
                </c:pt>
                <c:pt idx="22">
                  <c:v>Tree of Life</c:v>
                </c:pt>
                <c:pt idx="23">
                  <c:v>Village Grove</c:v>
                </c:pt>
                <c:pt idx="24">
                  <c:v>West Side Homes</c:v>
                </c:pt>
                <c:pt idx="25">
                  <c:v>Zero Place</c:v>
                </c:pt>
              </c:strCache>
            </c:strRef>
          </c:cat>
          <c:val>
            <c:numRef>
              <c:f>'Project Cost Chart'!$N$2:$N$28</c:f>
              <c:numCache>
                <c:formatCode>"$"#,##0</c:formatCode>
                <c:ptCount val="26"/>
                <c:pt idx="0">
                  <c:v>-350931</c:v>
                </c:pt>
                <c:pt idx="1">
                  <c:v>-647500</c:v>
                </c:pt>
                <c:pt idx="2">
                  <c:v>-750000</c:v>
                </c:pt>
                <c:pt idx="3">
                  <c:v>-425000</c:v>
                </c:pt>
                <c:pt idx="4">
                  <c:v>-1000000</c:v>
                </c:pt>
                <c:pt idx="5">
                  <c:v>-1000000</c:v>
                </c:pt>
                <c:pt idx="6">
                  <c:v>-1000000</c:v>
                </c:pt>
                <c:pt idx="7">
                  <c:v>-167458.5</c:v>
                </c:pt>
                <c:pt idx="8">
                  <c:v>-500000</c:v>
                </c:pt>
                <c:pt idx="9">
                  <c:v>-727236</c:v>
                </c:pt>
                <c:pt idx="10">
                  <c:v>-850000</c:v>
                </c:pt>
                <c:pt idx="11">
                  <c:v>-1000000</c:v>
                </c:pt>
                <c:pt idx="12">
                  <c:v>-1000000</c:v>
                </c:pt>
                <c:pt idx="13">
                  <c:v>-39467</c:v>
                </c:pt>
                <c:pt idx="14">
                  <c:v>-250000</c:v>
                </c:pt>
                <c:pt idx="15">
                  <c:v>-750000</c:v>
                </c:pt>
                <c:pt idx="16">
                  <c:v>-59976</c:v>
                </c:pt>
                <c:pt idx="17">
                  <c:v>-637500</c:v>
                </c:pt>
                <c:pt idx="18">
                  <c:v>-750000</c:v>
                </c:pt>
                <c:pt idx="19">
                  <c:v>-750000</c:v>
                </c:pt>
                <c:pt idx="20">
                  <c:v>-203082</c:v>
                </c:pt>
                <c:pt idx="21">
                  <c:v>-1000000</c:v>
                </c:pt>
                <c:pt idx="22">
                  <c:v>-500000</c:v>
                </c:pt>
                <c:pt idx="23">
                  <c:v>-792438</c:v>
                </c:pt>
                <c:pt idx="24">
                  <c:v>-362620</c:v>
                </c:pt>
                <c:pt idx="25">
                  <c:v>-750000</c:v>
                </c:pt>
              </c:numCache>
            </c:numRef>
          </c:val>
          <c:extLst>
            <c:ext xmlns:c16="http://schemas.microsoft.com/office/drawing/2014/chart" uri="{C3380CC4-5D6E-409C-BE32-E72D297353CC}">
              <c16:uniqueId val="{0000000C-C62D-4273-8D03-25264A3AA456}"/>
            </c:ext>
          </c:extLst>
        </c:ser>
        <c:dLbls>
          <c:showLegendKey val="0"/>
          <c:showVal val="0"/>
          <c:showCatName val="0"/>
          <c:showSerName val="0"/>
          <c:showPercent val="0"/>
          <c:showBubbleSize val="0"/>
        </c:dLbls>
        <c:gapWidth val="150"/>
        <c:overlap val="100"/>
        <c:axId val="1308327239"/>
        <c:axId val="1308328879"/>
      </c:barChart>
      <c:catAx>
        <c:axId val="1308327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8879"/>
        <c:crosses val="autoZero"/>
        <c:auto val="1"/>
        <c:lblAlgn val="ctr"/>
        <c:lblOffset val="100"/>
        <c:noMultiLvlLbl val="0"/>
      </c:catAx>
      <c:valAx>
        <c:axId val="130832887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72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561975</xdr:colOff>
      <xdr:row>1</xdr:row>
      <xdr:rowOff>171450</xdr:rowOff>
    </xdr:from>
    <xdr:to>
      <xdr:col>14</xdr:col>
      <xdr:colOff>533400</xdr:colOff>
      <xdr:row>30</xdr:row>
      <xdr:rowOff>104775</xdr:rowOff>
    </xdr:to>
    <xdr:sp macro="" textlink="">
      <xdr:nvSpPr>
        <xdr:cNvPr id="2" name="TextBox 1">
          <a:extLst>
            <a:ext uri="{FF2B5EF4-FFF2-40B4-BE49-F238E27FC236}">
              <a16:creationId xmlns:a16="http://schemas.microsoft.com/office/drawing/2014/main" id="{556DF222-04C7-4185-B346-B5976342F30A}"/>
            </a:ext>
          </a:extLst>
        </xdr:cNvPr>
        <xdr:cNvSpPr txBox="1"/>
      </xdr:nvSpPr>
      <xdr:spPr>
        <a:xfrm>
          <a:off x="561975" y="361950"/>
          <a:ext cx="8505825" cy="545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200" b="1">
              <a:solidFill>
                <a:srgbClr val="FF0000"/>
              </a:solidFill>
              <a:effectLst/>
              <a:latin typeface="+mn-lt"/>
              <a:ea typeface="+mn-ea"/>
              <a:cs typeface="+mn-cs"/>
            </a:rPr>
            <a:t>All</a:t>
          </a:r>
          <a:r>
            <a:rPr lang="en-US" sz="1200" b="1" baseline="0">
              <a:solidFill>
                <a:srgbClr val="FF0000"/>
              </a:solidFill>
              <a:effectLst/>
              <a:latin typeface="+mn-lt"/>
              <a:ea typeface="+mn-ea"/>
              <a:cs typeface="+mn-cs"/>
            </a:rPr>
            <a:t> p</a:t>
          </a:r>
          <a:r>
            <a:rPr lang="en-US" sz="1200" b="1">
              <a:solidFill>
                <a:srgbClr val="FF0000"/>
              </a:solidFill>
              <a:effectLst/>
              <a:latin typeface="+mn-lt"/>
              <a:ea typeface="+mn-ea"/>
              <a:cs typeface="+mn-cs"/>
            </a:rPr>
            <a:t>roject data included is </a:t>
          </a:r>
          <a:r>
            <a:rPr lang="en-US" sz="1400" b="1" u="sng">
              <a:solidFill>
                <a:srgbClr val="FF0000"/>
              </a:solidFill>
              <a:effectLst/>
              <a:latin typeface="+mn-lt"/>
              <a:ea typeface="+mn-ea"/>
              <a:cs typeface="+mn-cs"/>
            </a:rPr>
            <a:t>preliminary</a:t>
          </a:r>
          <a:r>
            <a:rPr lang="en-US" sz="1200" b="1" baseline="0">
              <a:solidFill>
                <a:srgbClr val="FF0000"/>
              </a:solidFill>
              <a:effectLst/>
              <a:latin typeface="+mn-lt"/>
              <a:ea typeface="+mn-ea"/>
              <a:cs typeface="+mn-cs"/>
            </a:rPr>
            <a:t> and </a:t>
          </a:r>
          <a:r>
            <a:rPr lang="en-US" sz="1400" b="1" u="sng" baseline="0">
              <a:solidFill>
                <a:srgbClr val="FF0000"/>
              </a:solidFill>
              <a:effectLst/>
              <a:latin typeface="+mn-lt"/>
              <a:ea typeface="+mn-ea"/>
              <a:cs typeface="+mn-cs"/>
            </a:rPr>
            <a:t>subject to change</a:t>
          </a:r>
          <a:r>
            <a:rPr lang="en-US" sz="1200" b="1" baseline="0">
              <a:solidFill>
                <a:srgbClr val="FF0000"/>
              </a:solidFill>
              <a:effectLst/>
              <a:latin typeface="+mn-lt"/>
              <a:ea typeface="+mn-ea"/>
              <a:cs typeface="+mn-cs"/>
            </a:rPr>
            <a:t>.  </a:t>
          </a:r>
          <a:r>
            <a:rPr lang="en-US" sz="1200" b="1">
              <a:solidFill>
                <a:srgbClr val="FF0000"/>
              </a:solidFill>
              <a:effectLst/>
              <a:latin typeface="+mn-lt"/>
              <a:ea typeface="+mn-ea"/>
              <a:cs typeface="+mn-cs"/>
            </a:rPr>
            <a:t>As projects progress, data will be updated and shared on NYSERDA’s Building of Excellence web page.</a:t>
          </a:r>
          <a:endParaRPr lang="en-US" sz="1200" b="1">
            <a:solidFill>
              <a:srgbClr val="FF0000"/>
            </a:solidFill>
            <a:effectLst/>
          </a:endParaRP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Project information stage is a reference to completeness of project submittals.</a:t>
          </a:r>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projects claimed incremental cost within a range, the high end of that range was selected for analysis.</a:t>
          </a:r>
          <a:endParaRPr lang="en-US" sz="1100"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is defined as the dollar amount differential to a project's budget related to carbon neutral and net zero construction practices when compared to that projects stated baseline construction code per the developer submitted data.</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Building of Excellence project baseline construction code is defined as the NYS Energy Conservation Construction Code (ECCC) for the year that the project was permitted.</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values have been provided by the project teams as estimates related to their</a:t>
          </a:r>
          <a:r>
            <a:rPr lang="en-US" sz="1100" b="0" baseline="0">
              <a:solidFill>
                <a:schemeClr val="dk1"/>
              </a:solidFill>
              <a:effectLst/>
              <a:latin typeface="+mn-lt"/>
              <a:ea typeface="+mn-ea"/>
              <a:cs typeface="+mn-cs"/>
            </a:rPr>
            <a:t> understanding of the project baseline.</a:t>
          </a:r>
          <a:r>
            <a:rPr lang="en-US" sz="1100" b="0">
              <a:solidFill>
                <a:schemeClr val="dk1"/>
              </a:solidFill>
              <a:effectLst/>
              <a:latin typeface="+mn-lt"/>
              <a:ea typeface="+mn-ea"/>
              <a:cs typeface="+mn-cs"/>
            </a:rPr>
            <a:t> </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 after incentives and tax credits is calculated:</a:t>
          </a:r>
          <a:endParaRPr lang="en-US" b="0">
            <a:effectLst/>
          </a:endParaRPr>
        </a:p>
        <a:p>
          <a:pPr rtl="0" eaLnBrk="1" latinLnBrk="0" hangingPunct="1"/>
          <a:r>
            <a:rPr lang="en-US" sz="1100" b="0">
              <a:solidFill>
                <a:schemeClr val="dk1"/>
              </a:solidFill>
              <a:effectLst/>
              <a:latin typeface="+mn-lt"/>
              <a:ea typeface="+mn-ea"/>
              <a:cs typeface="+mn-cs"/>
            </a:rPr>
            <a:t>	=(estimated incremental cost $ - anticipated NYSERDA incentive $ – anticipated project tax credits $) /estimated building cost $</a:t>
          </a:r>
          <a:endParaRPr lang="en-US" b="0">
            <a:effectLst/>
          </a:endParaRPr>
        </a:p>
        <a:p>
          <a:pPr rtl="0" eaLnBrk="1" latinLnBrk="0" hangingPunct="1"/>
          <a:r>
            <a:rPr lang="en-US" sz="1100" b="0">
              <a:solidFill>
                <a:schemeClr val="dk1"/>
              </a:solidFill>
              <a:effectLst/>
              <a:latin typeface="+mn-lt"/>
              <a:ea typeface="+mn-ea"/>
              <a:cs typeface="+mn-cs"/>
            </a:rPr>
            <a:t>	Where % incremental cost is negative, incentives and tax credits exceed the dollar amount of estimated incremental cost</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Cost and incremental cost data being collected for Buildings of Excellence projects is preliminary and based on project estimates.</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All Buildings of Excellence projects utilize Electrified Space Conditioning despite being identified as not all electric.</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Energy Costs identified are pulled from project model values – NOT building measurements.</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provided,</a:t>
          </a:r>
          <a:r>
            <a:rPr lang="en-US" sz="1100" b="0" baseline="0">
              <a:solidFill>
                <a:schemeClr val="dk1"/>
              </a:solidFill>
              <a:effectLst/>
              <a:latin typeface="+mn-lt"/>
              <a:ea typeface="+mn-ea"/>
              <a:cs typeface="+mn-cs"/>
            </a:rPr>
            <a:t> Low to Moderate Income (LMI) Tax Abatements have been excluded from this analysis.</a:t>
          </a: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If a field is blank the project has not yet provided that information to NYSERDA.</a:t>
          </a:r>
          <a:endParaRPr lang="en-US" b="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62193</xdr:colOff>
      <xdr:row>30</xdr:row>
      <xdr:rowOff>164886</xdr:rowOff>
    </xdr:from>
    <xdr:ext cx="1833922" cy="2524125"/>
    <mc:AlternateContent xmlns:mc="http://schemas.openxmlformats.org/markup-compatibility/2006">
      <mc:Choice xmlns:a14="http://schemas.microsoft.com/office/drawing/2010/main" Requires="a14">
        <xdr:graphicFrame macro="">
          <xdr:nvGraphicFramePr>
            <xdr:cNvPr id="2" name="Information Stage">
              <a:extLst>
                <a:ext uri="{FF2B5EF4-FFF2-40B4-BE49-F238E27FC236}">
                  <a16:creationId xmlns:a16="http://schemas.microsoft.com/office/drawing/2014/main" id="{45AACBDA-7EE8-4C3D-B4F2-D3E51B86CA40}"/>
                </a:ext>
              </a:extLst>
            </xdr:cNvPr>
            <xdr:cNvGraphicFramePr/>
          </xdr:nvGraphicFramePr>
          <xdr:xfrm>
            <a:off x="0" y="0"/>
            <a:ext cx="0" cy="0"/>
          </xdr:xfrm>
          <a:graphic>
            <a:graphicData uri="http://schemas.microsoft.com/office/drawing/2010/slicer">
              <sle:slicer xmlns:sle="http://schemas.microsoft.com/office/drawing/2010/slicer" name="Information Stage"/>
            </a:graphicData>
          </a:graphic>
        </xdr:graphicFrame>
      </mc:Choice>
      <mc:Fallback>
        <xdr:sp macro="" textlink="">
          <xdr:nvSpPr>
            <xdr:cNvPr id="0" name=""/>
            <xdr:cNvSpPr>
              <a:spLocks noTextEdit="1"/>
            </xdr:cNvSpPr>
          </xdr:nvSpPr>
          <xdr:spPr>
            <a:xfrm>
              <a:off x="20173550" y="5879886"/>
              <a:ext cx="1833922"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twoCellAnchor>
    <xdr:from>
      <xdr:col>0</xdr:col>
      <xdr:colOff>0</xdr:colOff>
      <xdr:row>30</xdr:row>
      <xdr:rowOff>164365</xdr:rowOff>
    </xdr:from>
    <xdr:to>
      <xdr:col>12</xdr:col>
      <xdr:colOff>0</xdr:colOff>
      <xdr:row>67</xdr:row>
      <xdr:rowOff>120169</xdr:rowOff>
    </xdr:to>
    <xdr:graphicFrame macro="">
      <xdr:nvGraphicFramePr>
        <xdr:cNvPr id="3" name="Chart 2">
          <a:extLst>
            <a:ext uri="{FF2B5EF4-FFF2-40B4-BE49-F238E27FC236}">
              <a16:creationId xmlns:a16="http://schemas.microsoft.com/office/drawing/2014/main" id="{FF7AC755-CFD8-4B92-8664-E13143F21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yserda.org\public\Public\New%20Construction\Housing\Buildings%20of%20Excellence\BoE%20Cost-related\Cost%20Data%20Master\New%20Construction%20Building%20Cost%20Data%204.0_v2_draft.xlsx" TargetMode="External"/><Relationship Id="rId1" Type="http://schemas.openxmlformats.org/officeDocument/2006/relationships/externalLinkPath" Target="/Public/New%20Construction/Housing/Buildings%20of%20Excellence/BoE%20Cost-related/Cost%20Data%20Master/New%20Construction%20Building%20Cost%20Data%204.0_v2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F Chapter "/>
      <sheetName val="Cost Analysis"/>
      <sheetName val="ROR"/>
    </sheetNames>
    <sheetDataSet>
      <sheetData sheetId="0"/>
      <sheetData sheetId="1">
        <row r="1">
          <cell r="C1" t="str">
            <v>Project</v>
          </cell>
          <cell r="D1" t="str">
            <v>SF#</v>
          </cell>
          <cell r="E1" t="str">
            <v>Developer</v>
          </cell>
          <cell r="F1" t="str">
            <v>PEC</v>
          </cell>
          <cell r="G1" t="str">
            <v>Contact</v>
          </cell>
          <cell r="H1" t="str">
            <v>Cost Workbook Submitted?</v>
          </cell>
          <cell r="I1" t="str">
            <v>Information Stage</v>
          </cell>
          <cell r="J1" t="str">
            <v>Project Stage</v>
          </cell>
          <cell r="K1" t="str">
            <v>Building Only Cost</v>
          </cell>
          <cell r="L1" t="str">
            <v>Cost Per Total Sq.Ft.</v>
          </cell>
          <cell r="M1" t="str">
            <v>Incremental Cost Detail</v>
          </cell>
          <cell r="N1" t="str">
            <v xml:space="preserve">Estimated Incremental Cost (Before Tax Credits and Incentives) </v>
          </cell>
          <cell r="O1" t="str">
            <v>Incremental Cost Per Sq.Ft. (Before Tax Credits and Incentives)</v>
          </cell>
          <cell r="P1" t="str">
            <v>Percent Incremental Cost (Before Tax Credits, Awards, and Incentives)</v>
          </cell>
          <cell r="Q1" t="str">
            <v>Anticipated NYSERDA Incentives And Tax Credits</v>
          </cell>
          <cell r="R1" t="str">
            <v>NYSERDA Incentive/Building Cost</v>
          </cell>
          <cell r="S1" t="str">
            <v>Incremental Cost (After Credits and Incentives)</v>
          </cell>
          <cell r="T1" t="str">
            <v>Incremental Cost Per Sq.Ft. (After Tax Credits and Incentives)</v>
          </cell>
          <cell r="U1" t="str">
            <v>Percent Incremental Cost (After Tax Credits, Awards, and Incentives)</v>
          </cell>
          <cell r="V1" t="str">
            <v>Tax Credit (45L) Eligibility</v>
          </cell>
          <cell r="W1" t="str">
            <v>Tax Credit PV</v>
          </cell>
          <cell r="X1" t="str">
            <v xml:space="preserve">Tax Credit Misc. </v>
          </cell>
          <cell r="Y1" t="str">
            <v>NYSERDA BOE Award</v>
          </cell>
          <cell r="Z1" t="str">
            <v>NYSERDA NCP Incentive</v>
          </cell>
          <cell r="AA1" t="str">
            <v>NYSERDA NY Sun</v>
          </cell>
          <cell r="AB1" t="str">
            <v>NYSERDA Solar Thermal</v>
          </cell>
          <cell r="AC1" t="str">
            <v>NYSERDA Heat Pump</v>
          </cell>
          <cell r="AD1" t="str">
            <v>RTEM</v>
          </cell>
          <cell r="AE1" t="str">
            <v>NYSERDA CHP</v>
          </cell>
          <cell r="AF1" t="str">
            <v>NYSERDA EV, storage, other</v>
          </cell>
          <cell r="AG1" t="str">
            <v>Primary HVAC</v>
          </cell>
          <cell r="AH1" t="str">
            <v>Mechanical Ventilation</v>
          </cell>
          <cell r="AI1" t="str">
            <v>Primary Envelope Construction</v>
          </cell>
          <cell r="AJ1" t="str">
            <v>Primary Envelope Components</v>
          </cell>
          <cell r="AK1" t="str">
            <v>Primary DHW</v>
          </cell>
          <cell r="AL1" t="str">
            <v>PV - System Size (kbtu/year)</v>
          </cell>
          <cell r="AM1" t="str">
            <v>PV System Notes</v>
          </cell>
          <cell r="AN1" t="str">
            <v>Advanced Building Attributes</v>
          </cell>
          <cell r="AO1" t="str">
            <v>Total Building Sq.Ft.</v>
          </cell>
          <cell r="AP1" t="str">
            <v>Residential Sq.Ft.</v>
          </cell>
          <cell r="AQ1" t="str">
            <v>Buildings</v>
          </cell>
          <cell r="AR1" t="str">
            <v>Stories</v>
          </cell>
          <cell r="AS1" t="str">
            <v>Dwelling Units</v>
          </cell>
          <cell r="AT1" t="str">
            <v xml:space="preserve">Performance Path </v>
          </cell>
          <cell r="AU1" t="str">
            <v>REDC Region</v>
          </cell>
          <cell r="AV1" t="str">
            <v>All Electric</v>
          </cell>
          <cell r="AW1" t="str">
            <v>LMI</v>
          </cell>
          <cell r="AX1" t="str">
            <v xml:space="preserve">High Performance Envelope </v>
          </cell>
          <cell r="AY1" t="str">
            <v>Building Structure</v>
          </cell>
          <cell r="AZ1" t="str">
            <v>Space Conditioning</v>
          </cell>
          <cell r="BA1" t="str">
            <v>Ventilation</v>
          </cell>
          <cell r="BB1" t="str">
            <v>DHW</v>
          </cell>
          <cell r="BC1" t="str">
            <v>LED/Daylighting</v>
          </cell>
          <cell r="BD1" t="str">
            <v>Height Classification</v>
          </cell>
          <cell r="BE1" t="str">
            <v>PV</v>
          </cell>
          <cell r="BF1" t="str">
            <v>Solar Preheat</v>
          </cell>
          <cell r="BG1" t="str">
            <v>EV Charging</v>
          </cell>
          <cell r="BH1" t="str">
            <v>Natural Gas Heat</v>
          </cell>
          <cell r="BI1" t="str">
            <v>Solar Thermal Backup</v>
          </cell>
          <cell r="BJ1" t="str">
            <v>Climate Zone</v>
          </cell>
          <cell r="BK1" t="str">
            <v>Gas Appliances (non-DHW)</v>
          </cell>
          <cell r="BL1" t="str">
            <v>New Construction/Gut Rehab</v>
          </cell>
          <cell r="BM1" t="str">
            <v>Baseline Code</v>
          </cell>
          <cell r="BN1" t="str">
            <v>NZE</v>
          </cell>
          <cell r="BO1" t="str">
            <v>Battery Storage</v>
          </cell>
          <cell r="BP1" t="str">
            <v>SQFT/Unit</v>
          </cell>
          <cell r="BQ1" t="str">
            <v>DEC Env. Justice</v>
          </cell>
          <cell r="BR1" t="str">
            <v>Downtown Revitalization</v>
          </cell>
          <cell r="BS1" t="str">
            <v>Mixed Use</v>
          </cell>
          <cell r="BT1" t="str">
            <v>Phius Path</v>
          </cell>
          <cell r="BU1" t="str">
            <v>Energy Savings Detial</v>
          </cell>
          <cell r="BV1" t="str">
            <v>Operation cost saving detail</v>
          </cell>
          <cell r="BW1" t="str">
            <v>Source Energy Baselinen (kBty/year)</v>
          </cell>
          <cell r="BX1" t="str">
            <v>Source Energy Design without Renewables (kBtu/year)</v>
          </cell>
          <cell r="BY1" t="str">
            <v>Source Energy Design with Renewables (kbtu/year)</v>
          </cell>
          <cell r="BZ1" t="str">
            <v>% Renewable Energy</v>
          </cell>
          <cell r="CA1" t="str">
            <v>Annual Baseline Energy Cost</v>
          </cell>
          <cell r="CB1" t="str">
            <v>Annual Design Energy Cost</v>
          </cell>
          <cell r="CC1" t="str">
            <v>Annual Demand Charges</v>
          </cell>
          <cell r="CD1" t="str">
            <v>Annual Operational Cost (excluding energy cost and demand charges)</v>
          </cell>
          <cell r="CE1" t="str">
            <v>Total Annual Operational Cost</v>
          </cell>
          <cell r="CF1" t="str">
            <v>Annual Energy Cost/SQFT</v>
          </cell>
          <cell r="CG1" t="str">
            <v>Source Energy (with renewables)/SQFT (kBtu)</v>
          </cell>
          <cell r="CH1" t="str">
            <v>Workbook Milestone</v>
          </cell>
          <cell r="CI1" t="str">
            <v>Notes</v>
          </cell>
          <cell r="CJ1" t="str">
            <v>HVAC Cost</v>
          </cell>
          <cell r="CK1" t="str">
            <v>Envelope Cost</v>
          </cell>
          <cell r="CL1" t="str">
            <v>DHW Cost</v>
          </cell>
          <cell r="CM1" t="str">
            <v>Appliance Cost</v>
          </cell>
          <cell r="CN1" t="str">
            <v>Generation Cost</v>
          </cell>
          <cell r="CO1" t="str">
            <v xml:space="preserve">Lighting Cost </v>
          </cell>
          <cell r="CP1" t="str">
            <v>Smart Building Cost</v>
          </cell>
          <cell r="CQ1" t="str">
            <v>Testing Inspection Cost</v>
          </cell>
          <cell r="CR1" t="str">
            <v>Other Performance Related Cost</v>
          </cell>
          <cell r="CS1" t="str">
            <v>Non-Performance Related Cost</v>
          </cell>
          <cell r="CT1" t="str">
            <v>Calculated Cost Before Credits and Incentives</v>
          </cell>
          <cell r="CU1" t="str">
            <v>INCENTIVE NYSERDA NCP</v>
          </cell>
          <cell r="CV1" t="str">
            <v>INCENTIVE NYSERDA NYSUN</v>
          </cell>
          <cell r="CW1" t="str">
            <v>INCENTIVE NYSERDA RTEM</v>
          </cell>
          <cell r="CX1" t="str">
            <v>INCENTIVE NYSERDA Solar Thermal</v>
          </cell>
          <cell r="CY1" t="str">
            <v>Incentive GSHP</v>
          </cell>
          <cell r="CZ1" t="str">
            <v>INCENTIVE EV</v>
          </cell>
          <cell r="DA1" t="str">
            <v>Incentive NYS Clean Heat</v>
          </cell>
          <cell r="DB1" t="str">
            <v>INCENTIVE</v>
          </cell>
          <cell r="DC1" t="str">
            <v>AWARD</v>
          </cell>
          <cell r="DD1" t="str">
            <v xml:space="preserve">TAX CREDIT Depreciation </v>
          </cell>
          <cell r="DE1" t="str">
            <v>TAX CREDIT PV (State and Federal)</v>
          </cell>
          <cell r="DF1" t="str">
            <v>TAX CREDIT Geothermal</v>
          </cell>
          <cell r="DG1" t="str">
            <v>TAX CREDIT COMMERCIAL BUILDING (179D)</v>
          </cell>
          <cell r="DH1" t="str">
            <v>TAX CREDIT HOMEBUILDER EE (45L)</v>
          </cell>
          <cell r="DI1" t="str">
            <v>TAX CREDIT</v>
          </cell>
          <cell r="DJ1" t="str">
            <v>Calculated Cost After Credits and Incentives</v>
          </cell>
          <cell r="DK1" t="str">
            <v>HVAC Cost/Sq.Ft.</v>
          </cell>
          <cell r="DL1" t="str">
            <v>Envelope Cost/Sq.Ft.</v>
          </cell>
          <cell r="DM1" t="str">
            <v>HVAC Cost/Source Energy Without Renewables ($/kBtu/year)</v>
          </cell>
          <cell r="DN1" t="str">
            <v xml:space="preserve">HVAC ConstructionCost/Source Energy Cost Without Renewables/Year </v>
          </cell>
          <cell r="DO1" t="str">
            <v>GENERATION Cost/ Source Energy Without Renewables ($/kBtu/year)</v>
          </cell>
          <cell r="DP1" t="str">
            <v>ENVELOPE Cost/Source Energy Without Renewables ($/kBtu/year)</v>
          </cell>
          <cell r="DQ1" t="str">
            <v>Percent HVAC Cost/ ENVELOPE Cost</v>
          </cell>
          <cell r="DR1" t="str">
            <v>INCENTIVE, AWARDs, &amp; Tax Credits/Total Cost</v>
          </cell>
          <cell r="DS1" t="str">
            <v>Pre-INCENTIVE $/Sq.Ft.</v>
          </cell>
          <cell r="DT1" t="str">
            <v>Total Cost/Sq.Ft.</v>
          </cell>
          <cell r="DU1" t="str">
            <v>Performance Related Cost</v>
          </cell>
          <cell r="DV1" t="str">
            <v>Percent Performance Related Cost</v>
          </cell>
          <cell r="DW1" t="str">
            <v>Baseline HVAC Cost</v>
          </cell>
          <cell r="DX1" t="str">
            <v>Baseline Envelope Cost</v>
          </cell>
          <cell r="DY1" t="str">
            <v>Baseline DHW Cost</v>
          </cell>
          <cell r="DZ1" t="str">
            <v>Baseline Appliance Cost</v>
          </cell>
          <cell r="EA1" t="str">
            <v>Baseline Generation Cost</v>
          </cell>
          <cell r="EB1" t="str">
            <v xml:space="preserve">Baseline Lighting Cost </v>
          </cell>
          <cell r="EC1" t="str">
            <v>Baseline Smart Building Cost</v>
          </cell>
          <cell r="ED1" t="str">
            <v>Baseline Testing Inspection Cost</v>
          </cell>
          <cell r="EE1" t="str">
            <v>Baseline Other Performance Related Cost</v>
          </cell>
          <cell r="EF1" t="str">
            <v>Baseline Non-Performance Related</v>
          </cell>
          <cell r="EG1" t="str">
            <v>Baseline Pre-INCENTIVE Calculated Cost Before Credits and Incentives</v>
          </cell>
          <cell r="EH1" t="str">
            <v>Baseline INCENTIVE</v>
          </cell>
          <cell r="EI1" t="str">
            <v>Baseline AWARD</v>
          </cell>
          <cell r="EJ1" t="str">
            <v>Baseline TAX CREDIT</v>
          </cell>
          <cell r="EK1" t="str">
            <v>Baseline Calculated Cost After Credits and Incentives</v>
          </cell>
          <cell r="EL1" t="str">
            <v>Baseline HVAC Cost/Sq.Ft</v>
          </cell>
          <cell r="EM1" t="str">
            <v>Baseline HVAC Cost/Source Energy Without Renewables ($/kBtu/year)</v>
          </cell>
          <cell r="EN1" t="str">
            <v>Baseline GENERATION Cost/ Source Energy Without Renewables ($/kBtu/year)</v>
          </cell>
          <cell r="EO1" t="str">
            <v>Baseline ENVELOPE Cost/Source Energy Without Renewables ($/kBtu/year)</v>
          </cell>
          <cell r="EP1" t="str">
            <v>Baseline % HVAC Cost/ ENVELOPE Cost</v>
          </cell>
          <cell r="EQ1" t="str">
            <v>Baseline INCENTIVE, AWARDs, &amp; Credits/Total Cost</v>
          </cell>
          <cell r="ER1" t="str">
            <v>Baseline Pre-INCENTIVE $/Sq.Ft.</v>
          </cell>
          <cell r="ES1" t="str">
            <v>Baseline Total Cost/Sq.Ft.</v>
          </cell>
          <cell r="ET1" t="str">
            <v>Baseline Performance Related Cost</v>
          </cell>
          <cell r="EU1" t="str">
            <v>Baseline % Performance Related Cost</v>
          </cell>
          <cell r="EV1" t="str">
            <v>Incremental HVAC Cost</v>
          </cell>
          <cell r="EW1" t="str">
            <v>Incremental Envelope Cost</v>
          </cell>
          <cell r="EX1" t="str">
            <v>Incremental DHW Cost</v>
          </cell>
          <cell r="EY1" t="str">
            <v>Incremental Appliance Cost</v>
          </cell>
          <cell r="EZ1" t="str">
            <v>Incremental Generation Cost</v>
          </cell>
          <cell r="FA1" t="str">
            <v xml:space="preserve">Incremental Lighting Cost </v>
          </cell>
          <cell r="FB1" t="str">
            <v>Incremental Smart Building Cost</v>
          </cell>
          <cell r="FC1" t="str">
            <v>Incremental Testing Inspection Cost</v>
          </cell>
          <cell r="FD1" t="str">
            <v>Incremental Other Performance Related Cost</v>
          </cell>
          <cell r="FE1" t="str">
            <v>Incremental Non-Performance Related</v>
          </cell>
          <cell r="FF1" t="str">
            <v>Incremental Pre-INCENTIVE Calculated Cost Before Credits and Incentives</v>
          </cell>
          <cell r="FG1" t="str">
            <v>Incremental INCENTIVE</v>
          </cell>
          <cell r="FH1" t="str">
            <v>Incremental AWARD</v>
          </cell>
          <cell r="FI1" t="str">
            <v>Incremental TAX CREDIT</v>
          </cell>
          <cell r="FJ1" t="str">
            <v>Incremental Calculated Cost After Credits and Incentives</v>
          </cell>
          <cell r="FK1" t="str">
            <v>Upstate/Downstate</v>
          </cell>
          <cell r="FL1" t="str">
            <v>Electric Utility</v>
          </cell>
          <cell r="FM1" t="str">
            <v>Gas Utility</v>
          </cell>
          <cell r="FN1" t="str">
            <v>Cost Detail Incremental Cost % Before Incentives Awards and Tax Credits</v>
          </cell>
          <cell r="FO1" t="str">
            <v>Cost Detail Incremental Cost % After Incentives Awards and Tax Credits</v>
          </cell>
        </row>
        <row r="2">
          <cell r="C2" t="str">
            <v>Linden Boulevard Phase II</v>
          </cell>
          <cell r="D2">
            <v>187906</v>
          </cell>
          <cell r="E2" t="str">
            <v>Radson Development, 10/7/2019 name changed to Real Builders, Inc.</v>
          </cell>
          <cell r="F2" t="str">
            <v>Bright Power Tyler</v>
          </cell>
          <cell r="G2" t="str">
            <v>Daniel	Radoslovich	
dan@rad-son.com
Jonathan	Beuttler	
jonathan@rad-son.com</v>
          </cell>
          <cell r="H2" t="str">
            <v>Sent</v>
          </cell>
          <cell r="I2" t="str">
            <v>Proposal</v>
          </cell>
          <cell r="J2" t="str">
            <v>Late Design</v>
          </cell>
          <cell r="K2">
            <v>72282816</v>
          </cell>
          <cell r="L2">
            <v>413.71843287639871</v>
          </cell>
          <cell r="M2" t="str">
            <v>Costs similar to other high performance buildings in general EXCEPT DHW
-DHW system will be much more expensive and do not have a reference point from other projects
-Water conservation measures should contribute to overall cost savings
Project stated 5-15% incremental cost</v>
          </cell>
          <cell r="N2">
            <v>10842422.4</v>
          </cell>
          <cell r="O2">
            <v>62.057764931459808</v>
          </cell>
          <cell r="P2">
            <v>0.15</v>
          </cell>
          <cell r="Q2">
            <v>1300000</v>
          </cell>
          <cell r="R2">
            <v>1.7984910825831688E-2</v>
          </cell>
          <cell r="S2">
            <v>9542422.4000000004</v>
          </cell>
          <cell r="T2">
            <v>54.617075809174942</v>
          </cell>
          <cell r="U2">
            <v>0.13201508917416832</v>
          </cell>
          <cell r="V2">
            <v>0</v>
          </cell>
          <cell r="Y2">
            <v>1000000</v>
          </cell>
          <cell r="Z2">
            <v>300000</v>
          </cell>
          <cell r="AG2" t="str">
            <v>VRF - ASHP</v>
          </cell>
          <cell r="AH2" t="str">
            <v>ERV</v>
          </cell>
          <cell r="AI2" t="str">
            <v>On Site</v>
          </cell>
          <cell r="AJ2" t="str">
            <v>There will be five different wall assemblies: CMU wall with masonry (R-21.76), CMU with 3” EIFS (R-18.54), CMU with 6” EIFS (R-33.68), stud wall with masonry (R-26.52), and stud wall with 3” EIFS (R-23.30).  
The façade will be comprised of Exterior Insulation and Finish System (EIFS) and brick.</v>
          </cell>
          <cell r="AK2" t="str">
            <v xml:space="preserve">Hp’S coupled w/ ST, VRF heat recovery, ground coupled loop and solar thermal array with storage </v>
          </cell>
          <cell r="AL2">
            <v>300000</v>
          </cell>
          <cell r="AM2" t="str">
            <v>Solar Thermal</v>
          </cell>
          <cell r="AN2" t="str">
            <v>VRF heat recovery, ground coupled loop and storage</v>
          </cell>
          <cell r="AO2">
            <v>174715</v>
          </cell>
          <cell r="AP2">
            <v>144985</v>
          </cell>
          <cell r="AQ2">
            <v>1</v>
          </cell>
          <cell r="AR2">
            <v>8</v>
          </cell>
          <cell r="AS2">
            <v>160</v>
          </cell>
          <cell r="AT2" t="str">
            <v>ASHRAE</v>
          </cell>
          <cell r="AU2" t="str">
            <v>NYC</v>
          </cell>
          <cell r="AV2" t="str">
            <v>All Electric</v>
          </cell>
          <cell r="AW2" t="str">
            <v>LMI</v>
          </cell>
          <cell r="AX2" t="str">
            <v>Yes</v>
          </cell>
          <cell r="AY2" t="str">
            <v>Steel and Plank</v>
          </cell>
          <cell r="AZ2" t="str">
            <v>VRF - ASHP</v>
          </cell>
          <cell r="BA2" t="str">
            <v>ERV</v>
          </cell>
          <cell r="BB2" t="str">
            <v>ASHP</v>
          </cell>
          <cell r="BC2" t="str">
            <v>Yes</v>
          </cell>
          <cell r="BD2" t="str">
            <v>Mid Rise</v>
          </cell>
          <cell r="BE2" t="str">
            <v>PV</v>
          </cell>
          <cell r="BF2" t="str">
            <v>Yes</v>
          </cell>
          <cell r="BG2" t="str">
            <v>No</v>
          </cell>
          <cell r="BH2" t="str">
            <v>No</v>
          </cell>
          <cell r="BI2" t="str">
            <v>No</v>
          </cell>
          <cell r="BJ2">
            <v>4</v>
          </cell>
          <cell r="BK2" t="str">
            <v>No</v>
          </cell>
          <cell r="BL2" t="str">
            <v>NC</v>
          </cell>
          <cell r="BM2" t="str">
            <v>2016 ECCC of NYS</v>
          </cell>
          <cell r="BN2" t="str">
            <v>Requires Grid Power</v>
          </cell>
          <cell r="BP2">
            <v>906.15625</v>
          </cell>
          <cell r="BQ2" t="str">
            <v>No</v>
          </cell>
          <cell r="BR2" t="str">
            <v>No</v>
          </cell>
          <cell r="BS2" t="str">
            <v>No</v>
          </cell>
          <cell r="BT2" t="str">
            <v>-</v>
          </cell>
          <cell r="BW2">
            <v>13977200</v>
          </cell>
          <cell r="BX2">
            <v>7862175</v>
          </cell>
          <cell r="BY2">
            <v>7562175</v>
          </cell>
          <cell r="BZ2">
            <v>3.8157380114281353E-2</v>
          </cell>
          <cell r="CA2">
            <v>592761</v>
          </cell>
          <cell r="CB2">
            <v>333428.11</v>
          </cell>
          <cell r="CF2">
            <v>2.299742111252888</v>
          </cell>
          <cell r="CG2">
            <v>43.282917894857341</v>
          </cell>
          <cell r="CJ2">
            <v>0</v>
          </cell>
          <cell r="CK2">
            <v>0</v>
          </cell>
          <cell r="CL2">
            <v>0</v>
          </cell>
          <cell r="CM2">
            <v>0</v>
          </cell>
          <cell r="CN2">
            <v>0</v>
          </cell>
          <cell r="CO2">
            <v>0</v>
          </cell>
          <cell r="CP2">
            <v>0</v>
          </cell>
          <cell r="CQ2">
            <v>0</v>
          </cell>
          <cell r="CR2">
            <v>0</v>
          </cell>
          <cell r="CS2">
            <v>0</v>
          </cell>
          <cell r="CT2">
            <v>0</v>
          </cell>
          <cell r="CU2">
            <v>0</v>
          </cell>
          <cell r="CV2">
            <v>0</v>
          </cell>
          <cell r="CW2">
            <v>0</v>
          </cell>
          <cell r="CX2">
            <v>0</v>
          </cell>
          <cell r="CY2">
            <v>0</v>
          </cell>
          <cell r="CZ2">
            <v>0</v>
          </cell>
          <cell r="DA2">
            <v>0</v>
          </cell>
          <cell r="DB2">
            <v>0</v>
          </cell>
          <cell r="DC2">
            <v>0</v>
          </cell>
          <cell r="DD2">
            <v>0</v>
          </cell>
          <cell r="DE2">
            <v>0</v>
          </cell>
          <cell r="DF2">
            <v>0</v>
          </cell>
          <cell r="DG2">
            <v>0</v>
          </cell>
          <cell r="DH2">
            <v>0</v>
          </cell>
          <cell r="DI2">
            <v>0</v>
          </cell>
          <cell r="DJ2">
            <v>0</v>
          </cell>
          <cell r="DK2">
            <v>0</v>
          </cell>
          <cell r="DL2">
            <v>0</v>
          </cell>
          <cell r="DM2">
            <v>0</v>
          </cell>
          <cell r="DN2">
            <v>0</v>
          </cell>
          <cell r="DO2">
            <v>0</v>
          </cell>
          <cell r="DP2">
            <v>0</v>
          </cell>
          <cell r="DQ2" t="e">
            <v>#DIV/0!</v>
          </cell>
          <cell r="DR2" t="e">
            <v>#DIV/0!</v>
          </cell>
          <cell r="DS2">
            <v>0</v>
          </cell>
          <cell r="DT2">
            <v>0</v>
          </cell>
          <cell r="DU2">
            <v>0</v>
          </cell>
          <cell r="DV2" t="e">
            <v>#DIV/0!</v>
          </cell>
          <cell r="EL2">
            <v>0</v>
          </cell>
          <cell r="EP2" t="e">
            <v>#DIV/0!</v>
          </cell>
          <cell r="EQ2" t="e">
            <v>#DIV/0!</v>
          </cell>
          <cell r="ER2">
            <v>0</v>
          </cell>
          <cell r="ES2">
            <v>0</v>
          </cell>
          <cell r="ET2">
            <v>0</v>
          </cell>
          <cell r="EU2" t="e">
            <v>#DIV/0!</v>
          </cell>
          <cell r="EV2">
            <v>0</v>
          </cell>
          <cell r="EW2">
            <v>0</v>
          </cell>
          <cell r="EX2">
            <v>0</v>
          </cell>
          <cell r="EY2">
            <v>0</v>
          </cell>
          <cell r="EZ2">
            <v>0</v>
          </cell>
          <cell r="FA2">
            <v>0</v>
          </cell>
          <cell r="FB2">
            <v>0</v>
          </cell>
          <cell r="FC2">
            <v>0</v>
          </cell>
          <cell r="FD2">
            <v>0</v>
          </cell>
          <cell r="FE2">
            <v>0</v>
          </cell>
          <cell r="FF2">
            <v>0</v>
          </cell>
          <cell r="FG2">
            <v>0</v>
          </cell>
          <cell r="FH2">
            <v>0</v>
          </cell>
          <cell r="FI2">
            <v>0</v>
          </cell>
          <cell r="FJ2">
            <v>0</v>
          </cell>
          <cell r="FK2" t="str">
            <v>Downstate</v>
          </cell>
          <cell r="FL2" t="str">
            <v>ConEd</v>
          </cell>
          <cell r="FM2" t="str">
            <v>N/A</v>
          </cell>
          <cell r="FN2" t="e">
            <v>#DIV/0!</v>
          </cell>
          <cell r="FO2" t="e">
            <v>#DIV/0!</v>
          </cell>
        </row>
        <row r="3">
          <cell r="C3" t="str">
            <v>1182 Woodycrest Development</v>
          </cell>
          <cell r="D3">
            <v>186890</v>
          </cell>
          <cell r="E3" t="str">
            <v>The Bluestone Organization - 10/2/2019 changed to Woodycrest Apartments LLC</v>
          </cell>
          <cell r="H3" t="str">
            <v>Sent</v>
          </cell>
          <cell r="I3" t="str">
            <v>Milestone 2</v>
          </cell>
          <cell r="J3" t="str">
            <v>Under Construction</v>
          </cell>
          <cell r="K3">
            <v>15365000.4</v>
          </cell>
          <cell r="L3">
            <v>372.16006394419418</v>
          </cell>
          <cell r="M3" t="str">
            <v>Our current standard building envelope and HVAC system for all our new buildings
produces a building that is easily adapted to the Passive House Standard with a minimal
increase in overall construction costs. The addition of ERV units, enhanced air sealing,
and incorporating solar and cogeneration systems only increase construction costs 3-5%.</v>
          </cell>
          <cell r="N3">
            <v>150492.62949999981</v>
          </cell>
          <cell r="O3">
            <v>7.464821719226852</v>
          </cell>
          <cell r="P3">
            <v>2.0058094466434234E-2</v>
          </cell>
          <cell r="Q3">
            <v>520631</v>
          </cell>
          <cell r="R3">
            <v>3.3884216495041551E-2</v>
          </cell>
          <cell r="S3">
            <v>-370138.37050000019</v>
          </cell>
          <cell r="T3">
            <v>-5.3259977179953824</v>
          </cell>
          <cell r="U3">
            <v>-1.4311040420484294E-2</v>
          </cell>
          <cell r="V3">
            <v>0</v>
          </cell>
          <cell r="Y3">
            <v>412860</v>
          </cell>
          <cell r="Z3">
            <v>157500</v>
          </cell>
          <cell r="AG3" t="str">
            <v>VRF - ASHP</v>
          </cell>
          <cell r="AH3" t="str">
            <v>ERV</v>
          </cell>
          <cell r="AI3" t="str">
            <v>ICF</v>
          </cell>
          <cell r="AJ3" t="str">
            <v>ICF</v>
          </cell>
          <cell r="AK3" t="str">
            <v>Condensing Boilers</v>
          </cell>
          <cell r="AL3">
            <v>134552</v>
          </cell>
          <cell r="AM3" t="str">
            <v>Onsite Solar electric (PV) Owned</v>
          </cell>
          <cell r="AO3">
            <v>41286</v>
          </cell>
          <cell r="AP3">
            <v>41286</v>
          </cell>
          <cell r="AQ3">
            <v>1</v>
          </cell>
          <cell r="AR3">
            <v>9</v>
          </cell>
          <cell r="AS3">
            <v>45</v>
          </cell>
          <cell r="AT3" t="str">
            <v>Phius</v>
          </cell>
          <cell r="AU3" t="str">
            <v>NYC</v>
          </cell>
          <cell r="AV3" t="str">
            <v>Fossil Fuels</v>
          </cell>
          <cell r="AW3" t="str">
            <v>LMI</v>
          </cell>
          <cell r="AX3" t="str">
            <v>Yes</v>
          </cell>
          <cell r="AY3" t="str">
            <v xml:space="preserve">ICF and Plank </v>
          </cell>
          <cell r="AZ3" t="str">
            <v>VRF - ASHP</v>
          </cell>
          <cell r="BA3" t="str">
            <v>ERV</v>
          </cell>
          <cell r="BB3" t="str">
            <v>Fossil Fuel</v>
          </cell>
          <cell r="BC3" t="str">
            <v>Yes</v>
          </cell>
          <cell r="BD3" t="str">
            <v>Mid Rise</v>
          </cell>
          <cell r="BE3" t="str">
            <v>PV</v>
          </cell>
          <cell r="BF3" t="str">
            <v>No</v>
          </cell>
          <cell r="BG3" t="str">
            <v>Yes</v>
          </cell>
          <cell r="BH3" t="str">
            <v>No</v>
          </cell>
          <cell r="BI3" t="str">
            <v>No</v>
          </cell>
          <cell r="BJ3">
            <v>4</v>
          </cell>
          <cell r="BK3" t="str">
            <v>Yes</v>
          </cell>
          <cell r="BL3" t="str">
            <v>NC</v>
          </cell>
          <cell r="BM3" t="str">
            <v>2016 ECCC of NYS</v>
          </cell>
          <cell r="BN3" t="str">
            <v>Requires Grid Power</v>
          </cell>
          <cell r="BP3">
            <v>917.4666666666667</v>
          </cell>
          <cell r="BQ3" t="str">
            <v>Yes</v>
          </cell>
          <cell r="BR3" t="str">
            <v>No</v>
          </cell>
          <cell r="BS3" t="str">
            <v>No</v>
          </cell>
          <cell r="BT3" t="str">
            <v>-</v>
          </cell>
          <cell r="BW3" t="str">
            <v>-</v>
          </cell>
          <cell r="BX3">
            <v>1368312</v>
          </cell>
          <cell r="BY3">
            <v>1233760</v>
          </cell>
          <cell r="BZ3">
            <v>9.8334298025596498E-2</v>
          </cell>
          <cell r="CA3" t="str">
            <v>-</v>
          </cell>
          <cell r="CB3">
            <v>55885.82</v>
          </cell>
          <cell r="CF3">
            <v>1.3536264108898901</v>
          </cell>
          <cell r="CG3">
            <v>29.883253403090634</v>
          </cell>
          <cell r="CH3" t="str">
            <v>M1</v>
          </cell>
          <cell r="CJ3">
            <v>879051</v>
          </cell>
          <cell r="CK3">
            <v>1130801.5899999999</v>
          </cell>
          <cell r="CL3">
            <v>240000</v>
          </cell>
          <cell r="CM3">
            <v>140736</v>
          </cell>
          <cell r="CN3">
            <v>0</v>
          </cell>
          <cell r="CO3">
            <v>200000</v>
          </cell>
          <cell r="CP3">
            <v>0</v>
          </cell>
          <cell r="CQ3">
            <v>0</v>
          </cell>
          <cell r="CR3">
            <v>645948</v>
          </cell>
          <cell r="CS3">
            <v>12128463.810000001</v>
          </cell>
          <cell r="CT3">
            <v>15365000.4</v>
          </cell>
          <cell r="CU3">
            <v>-157700</v>
          </cell>
          <cell r="CV3">
            <v>0</v>
          </cell>
          <cell r="CW3">
            <v>0</v>
          </cell>
          <cell r="CX3">
            <v>0</v>
          </cell>
          <cell r="CY3">
            <v>0</v>
          </cell>
          <cell r="CZ3">
            <v>-12000</v>
          </cell>
          <cell r="DA3">
            <v>0</v>
          </cell>
          <cell r="DB3">
            <v>-169700</v>
          </cell>
          <cell r="DC3">
            <v>-350931</v>
          </cell>
          <cell r="DD3">
            <v>0</v>
          </cell>
          <cell r="DE3">
            <v>0</v>
          </cell>
          <cell r="DF3">
            <v>0</v>
          </cell>
          <cell r="DG3">
            <v>0</v>
          </cell>
          <cell r="DH3">
            <v>0</v>
          </cell>
          <cell r="DI3">
            <v>0</v>
          </cell>
          <cell r="DJ3">
            <v>14844369.4</v>
          </cell>
          <cell r="DK3">
            <v>21.291745385845079</v>
          </cell>
          <cell r="DL3">
            <v>27.389468342779629</v>
          </cell>
          <cell r="DM3">
            <v>0.64243462017434616</v>
          </cell>
          <cell r="DN3">
            <v>15.729410430051844</v>
          </cell>
          <cell r="DO3">
            <v>0</v>
          </cell>
          <cell r="DP3">
            <v>0.82642086746297616</v>
          </cell>
          <cell r="DQ3">
            <v>0.7773697948196201</v>
          </cell>
          <cell r="DR3">
            <v>3.507262491056036E-2</v>
          </cell>
          <cell r="DS3">
            <v>372.16006394419418</v>
          </cell>
          <cell r="DT3">
            <v>359.54971176670057</v>
          </cell>
          <cell r="DU3">
            <v>3236536.59</v>
          </cell>
          <cell r="DV3">
            <v>0.21064344326343135</v>
          </cell>
          <cell r="DW3">
            <v>835098</v>
          </cell>
          <cell r="DX3">
            <v>1074262</v>
          </cell>
          <cell r="DY3">
            <v>240000</v>
          </cell>
          <cell r="DZ3">
            <v>140736</v>
          </cell>
          <cell r="EA3">
            <v>0</v>
          </cell>
          <cell r="EB3">
            <v>200000</v>
          </cell>
          <cell r="EC3">
            <v>0</v>
          </cell>
          <cell r="ED3">
            <v>0</v>
          </cell>
          <cell r="EE3">
            <v>595948</v>
          </cell>
          <cell r="EF3">
            <v>12128463.810000001</v>
          </cell>
          <cell r="EG3">
            <v>15214507.770500001</v>
          </cell>
          <cell r="EH3">
            <v>-157700</v>
          </cell>
          <cell r="EI3">
            <v>0</v>
          </cell>
          <cell r="EJ3">
            <v>0</v>
          </cell>
          <cell r="EK3">
            <v>15056807.770500001</v>
          </cell>
          <cell r="EL3">
            <v>20.227147216974277</v>
          </cell>
          <cell r="EP3">
            <v>0.77736902170978772</v>
          </cell>
          <cell r="EQ3">
            <v>1.0473667619571607E-2</v>
          </cell>
          <cell r="ER3">
            <v>368.51493897447079</v>
          </cell>
          <cell r="ES3">
            <v>364.69524222496733</v>
          </cell>
          <cell r="ET3">
            <v>3086044</v>
          </cell>
          <cell r="EU3">
            <v>0.20283561233467245</v>
          </cell>
          <cell r="EV3">
            <v>43953</v>
          </cell>
          <cell r="EW3">
            <v>56539.589999999851</v>
          </cell>
          <cell r="EX3">
            <v>0</v>
          </cell>
          <cell r="EY3">
            <v>0</v>
          </cell>
          <cell r="EZ3">
            <v>0</v>
          </cell>
          <cell r="FA3">
            <v>0</v>
          </cell>
          <cell r="FB3">
            <v>0</v>
          </cell>
          <cell r="FC3">
            <v>0</v>
          </cell>
          <cell r="FD3">
            <v>50000</v>
          </cell>
          <cell r="FE3">
            <v>0</v>
          </cell>
          <cell r="FF3">
            <v>150492.62949999981</v>
          </cell>
          <cell r="FG3">
            <v>-12000</v>
          </cell>
          <cell r="FH3">
            <v>-350931</v>
          </cell>
          <cell r="FI3">
            <v>0</v>
          </cell>
          <cell r="FJ3">
            <v>-212438.37050000019</v>
          </cell>
          <cell r="FK3" t="str">
            <v>Downstate</v>
          </cell>
          <cell r="FL3" t="str">
            <v>ConEd</v>
          </cell>
          <cell r="FM3" t="str">
            <v>ConEd</v>
          </cell>
          <cell r="FN3">
            <v>2.0058094466434234E-2</v>
          </cell>
          <cell r="FO3">
            <v>-1.4311040420484294E-2</v>
          </cell>
        </row>
        <row r="4">
          <cell r="C4" t="str">
            <v>Bushwick Alliance</v>
          </cell>
          <cell r="D4">
            <v>188169</v>
          </cell>
          <cell r="E4" t="str">
            <v>RiseBoro Community Partnership, Inc.</v>
          </cell>
          <cell r="G4" t="str">
            <v>dvanderburg@riseboro.org</v>
          </cell>
          <cell r="H4" t="str">
            <v>Pending</v>
          </cell>
          <cell r="I4" t="str">
            <v>Proposal</v>
          </cell>
          <cell r="J4" t="str">
            <v>Late Design</v>
          </cell>
          <cell r="K4">
            <v>10041995</v>
          </cell>
          <cell r="L4">
            <v>499.32847695291133</v>
          </cell>
          <cell r="M4" t="str">
            <v>The Bushwick Alliance development team intends to construct the 63 Stockholm building with no overall cost
increases comparable to the per square foot construction cost of a standard similarly sized building in
Brooklyn, NY in 2020. To be clear, the funds from this application will offset the cost of additional upgrades
which have not been contemplated in the initial round of underwriting on the project. This application will
allow us to increase the size of the solar array on the roof and raise it onto dunnage. This application will also
allow us to specify higher-quality refrigerators and self-dimming lighting systems which might otherwise be
beyond the reach of the project’s budget. The funds from this application will also offset any potential cost
increases from specifying a lower embodied energy cost for building construction materials – namely lumber
for non-demising walls and a concrete spec requiring a lower percentage of Portland cement within it. That
said, the Bushwick Alliance cluster already represents the feasibility of building Passive House, all-electric,
and low-carbon buildings at the same cost as standard buildings. What additional may be spent on HVAC
and windows will be saved on masonry, and reduced HVAC sizing throughout the building.</v>
          </cell>
          <cell r="N4">
            <v>490220</v>
          </cell>
          <cell r="O4">
            <v>24.375714782954603</v>
          </cell>
          <cell r="P4">
            <v>4.8816993037738017E-2</v>
          </cell>
          <cell r="Q4">
            <v>490220</v>
          </cell>
          <cell r="R4">
            <v>4.8816993037738017E-2</v>
          </cell>
          <cell r="S4">
            <v>0</v>
          </cell>
          <cell r="T4">
            <v>0</v>
          </cell>
          <cell r="U4">
            <v>0</v>
          </cell>
          <cell r="V4">
            <v>0</v>
          </cell>
          <cell r="Y4">
            <v>402220</v>
          </cell>
          <cell r="Z4">
            <v>88000</v>
          </cell>
          <cell r="AG4" t="str">
            <v xml:space="preserve">ASHP
It’s a centralized ASHP “2 pipe” system, meaning it will either heat or cool, but not both at the same time as in 3pipe VRF. </v>
          </cell>
          <cell r="AH4" t="str">
            <v>ERV</v>
          </cell>
          <cell r="AI4" t="str">
            <v>On Site</v>
          </cell>
          <cell r="AJ4" t="str">
            <v>The CMU structure with 6” layer of continuous exterior insulation. The front wall is a rain screen, with cladding supported by thermoset resin girts, to minimally impact R-value. The side and rear walls are back drained EIFS, for high thermal performance at low cost. 
A single course of aerated concrete block at the parapet provides a thermal break.
Windows are fiberglass with quad-pane glazing and krypton gas.</v>
          </cell>
          <cell r="AK4" t="str">
            <v xml:space="preserve">ASHP w/ CO2 </v>
          </cell>
          <cell r="AL4">
            <v>277430</v>
          </cell>
          <cell r="AM4" t="str">
            <v xml:space="preserve">Onsite Solar electric (PV) Power Purchase Agreement </v>
          </cell>
          <cell r="AO4">
            <v>20111</v>
          </cell>
          <cell r="AP4">
            <v>20111</v>
          </cell>
          <cell r="AQ4">
            <v>1</v>
          </cell>
          <cell r="AR4">
            <v>4</v>
          </cell>
          <cell r="AS4">
            <v>20</v>
          </cell>
          <cell r="AT4" t="str">
            <v>Phius</v>
          </cell>
          <cell r="AU4" t="str">
            <v>NYC</v>
          </cell>
          <cell r="AV4" t="str">
            <v>All Electric</v>
          </cell>
          <cell r="AW4" t="str">
            <v>LMI</v>
          </cell>
          <cell r="AX4" t="str">
            <v>Yes</v>
          </cell>
          <cell r="AY4" t="str">
            <v>Block and Plank</v>
          </cell>
          <cell r="AZ4" t="str">
            <v>VRF - ASHP</v>
          </cell>
          <cell r="BA4" t="str">
            <v>ERV</v>
          </cell>
          <cell r="BB4" t="str">
            <v xml:space="preserve">ASHP w/ CO2 </v>
          </cell>
          <cell r="BC4" t="str">
            <v>Yes</v>
          </cell>
          <cell r="BD4" t="str">
            <v>Mid Rise</v>
          </cell>
          <cell r="BE4" t="str">
            <v>PV</v>
          </cell>
          <cell r="BF4" t="str">
            <v>No</v>
          </cell>
          <cell r="BG4" t="str">
            <v>No</v>
          </cell>
          <cell r="BH4" t="str">
            <v>No</v>
          </cell>
          <cell r="BI4" t="str">
            <v>No</v>
          </cell>
          <cell r="BJ4">
            <v>4</v>
          </cell>
          <cell r="BK4" t="str">
            <v>No</v>
          </cell>
          <cell r="BL4" t="str">
            <v>NC</v>
          </cell>
          <cell r="BM4" t="str">
            <v>2016 ECCC of NYS</v>
          </cell>
          <cell r="BN4" t="str">
            <v>Net Zero Energy</v>
          </cell>
          <cell r="BP4">
            <v>1005.55</v>
          </cell>
          <cell r="BQ4" t="str">
            <v>Yes</v>
          </cell>
          <cell r="BR4" t="str">
            <v>No</v>
          </cell>
          <cell r="BS4" t="str">
            <v>No</v>
          </cell>
          <cell r="BT4" t="str">
            <v>-</v>
          </cell>
          <cell r="BW4" t="str">
            <v>-</v>
          </cell>
          <cell r="BX4">
            <v>277430</v>
          </cell>
          <cell r="BY4">
            <v>0</v>
          </cell>
          <cell r="BZ4">
            <v>1</v>
          </cell>
          <cell r="CA4" t="str">
            <v>-</v>
          </cell>
          <cell r="CB4">
            <v>4</v>
          </cell>
          <cell r="CF4">
            <v>1.9889612649793645E-4</v>
          </cell>
          <cell r="CG4">
            <v>0</v>
          </cell>
          <cell r="CJ4">
            <v>0</v>
          </cell>
          <cell r="CK4">
            <v>0</v>
          </cell>
          <cell r="CL4">
            <v>0</v>
          </cell>
          <cell r="CM4">
            <v>0</v>
          </cell>
          <cell r="CN4">
            <v>0</v>
          </cell>
          <cell r="CO4">
            <v>0</v>
          </cell>
          <cell r="CP4">
            <v>0</v>
          </cell>
          <cell r="CQ4">
            <v>0</v>
          </cell>
          <cell r="CR4">
            <v>0</v>
          </cell>
          <cell r="CS4">
            <v>0</v>
          </cell>
          <cell r="CT4">
            <v>0</v>
          </cell>
          <cell r="CU4">
            <v>0</v>
          </cell>
          <cell r="CV4">
            <v>0</v>
          </cell>
          <cell r="CW4">
            <v>0</v>
          </cell>
          <cell r="CX4">
            <v>0</v>
          </cell>
          <cell r="CY4">
            <v>0</v>
          </cell>
          <cell r="CZ4">
            <v>0</v>
          </cell>
          <cell r="DA4">
            <v>0</v>
          </cell>
          <cell r="DB4">
            <v>0</v>
          </cell>
          <cell r="DC4">
            <v>0</v>
          </cell>
          <cell r="DD4">
            <v>0</v>
          </cell>
          <cell r="DE4">
            <v>0</v>
          </cell>
          <cell r="DF4">
            <v>0</v>
          </cell>
          <cell r="DG4">
            <v>0</v>
          </cell>
          <cell r="DH4">
            <v>0</v>
          </cell>
          <cell r="DI4">
            <v>0</v>
          </cell>
          <cell r="DJ4">
            <v>0</v>
          </cell>
          <cell r="DK4">
            <v>0</v>
          </cell>
          <cell r="DL4">
            <v>0</v>
          </cell>
          <cell r="DM4">
            <v>0</v>
          </cell>
          <cell r="DN4">
            <v>0</v>
          </cell>
          <cell r="DO4">
            <v>0</v>
          </cell>
          <cell r="DP4">
            <v>0</v>
          </cell>
          <cell r="DQ4" t="e">
            <v>#DIV/0!</v>
          </cell>
          <cell r="DR4" t="e">
            <v>#DIV/0!</v>
          </cell>
          <cell r="DS4">
            <v>0</v>
          </cell>
          <cell r="DT4">
            <v>0</v>
          </cell>
          <cell r="DU4">
            <v>0</v>
          </cell>
          <cell r="DV4" t="e">
            <v>#DIV/0!</v>
          </cell>
          <cell r="EL4">
            <v>0</v>
          </cell>
          <cell r="EP4" t="e">
            <v>#DIV/0!</v>
          </cell>
          <cell r="EQ4" t="e">
            <v>#DIV/0!</v>
          </cell>
          <cell r="ER4">
            <v>0</v>
          </cell>
          <cell r="ES4">
            <v>0</v>
          </cell>
          <cell r="ET4">
            <v>0</v>
          </cell>
          <cell r="EU4" t="e">
            <v>#DIV/0!</v>
          </cell>
          <cell r="EV4">
            <v>0</v>
          </cell>
          <cell r="EW4">
            <v>0</v>
          </cell>
          <cell r="EX4">
            <v>0</v>
          </cell>
          <cell r="EY4">
            <v>0</v>
          </cell>
          <cell r="EZ4">
            <v>0</v>
          </cell>
          <cell r="FA4">
            <v>0</v>
          </cell>
          <cell r="FB4">
            <v>0</v>
          </cell>
          <cell r="FC4">
            <v>0</v>
          </cell>
          <cell r="FD4">
            <v>0</v>
          </cell>
          <cell r="FE4">
            <v>0</v>
          </cell>
          <cell r="FF4">
            <v>0</v>
          </cell>
          <cell r="FG4">
            <v>0</v>
          </cell>
          <cell r="FH4">
            <v>0</v>
          </cell>
          <cell r="FI4">
            <v>0</v>
          </cell>
          <cell r="FJ4">
            <v>0</v>
          </cell>
          <cell r="FK4" t="str">
            <v>Downstate</v>
          </cell>
          <cell r="FL4" t="str">
            <v>ConEd</v>
          </cell>
          <cell r="FM4" t="str">
            <v>N/A</v>
          </cell>
          <cell r="FN4" t="e">
            <v>#DIV/0!</v>
          </cell>
          <cell r="FO4" t="e">
            <v>#DIV/0!</v>
          </cell>
        </row>
        <row r="5">
          <cell r="C5" t="str">
            <v>STREET SMART, 369 MANHATTAN AVENUE</v>
          </cell>
          <cell r="D5">
            <v>188689</v>
          </cell>
          <cell r="E5" t="str">
            <v>369 Manhattan</v>
          </cell>
          <cell r="G5" t="str">
            <v>nateskyone@aol.com &amp; gabrielle.mahon@gmail.com</v>
          </cell>
          <cell r="H5" t="str">
            <v>Pending</v>
          </cell>
          <cell r="I5" t="str">
            <v>Proposal</v>
          </cell>
          <cell r="J5" t="str">
            <v>Early Design</v>
          </cell>
          <cell r="K5">
            <v>2086824</v>
          </cell>
          <cell r="L5">
            <v>467.58323997311226</v>
          </cell>
          <cell r="M5" t="str">
            <v>In the project team’s experience on other Passive House projects, the costs of Passive
House performance is a small portion of overall project budget, in the range of 1-5%.
This premium is small because of the experience of the design team with Passive
House construction, and the fact that these energy improvements also allow cost
reductions in other areas.</v>
          </cell>
          <cell r="N5">
            <v>104341.20000000001</v>
          </cell>
          <cell r="O5">
            <v>23.379161998655615</v>
          </cell>
          <cell r="P5">
            <v>0.05</v>
          </cell>
          <cell r="Q5">
            <v>97260</v>
          </cell>
          <cell r="R5">
            <v>4.6606709526054904E-2</v>
          </cell>
          <cell r="S5">
            <v>7081.2000000000116</v>
          </cell>
          <cell r="T5">
            <v>1.5866457539771481</v>
          </cell>
          <cell r="U5">
            <v>3.3932904739451012E-3</v>
          </cell>
          <cell r="V5">
            <v>0</v>
          </cell>
          <cell r="Y5">
            <v>89260</v>
          </cell>
          <cell r="Z5">
            <v>8000</v>
          </cell>
          <cell r="AG5" t="str">
            <v>VRF - ASHP</v>
          </cell>
          <cell r="AH5" t="str">
            <v>ERV</v>
          </cell>
          <cell r="AI5" t="str">
            <v>On Site</v>
          </cell>
          <cell r="AJ5" t="str">
            <v xml:space="preserve">Continuous exterior insulation around the exterior building walls, roofs, and foundation. The walls are clad in a mix of mineral wool EIFS and thermally broken rainscreen cladding with continuous mineral wool insulation.
High performance triple glazed windows. </v>
          </cell>
          <cell r="AK5" t="str">
            <v xml:space="preserve">ASHP w/ CO2 </v>
          </cell>
          <cell r="AL5">
            <v>87531</v>
          </cell>
          <cell r="AM5" t="str">
            <v>Onsite Solar electric (PV) Owned</v>
          </cell>
          <cell r="AN5" t="str">
            <v>Induction cooktop, HP clothes dryers</v>
          </cell>
          <cell r="AO5">
            <v>4463</v>
          </cell>
          <cell r="AP5">
            <v>4463</v>
          </cell>
          <cell r="AQ5">
            <v>1</v>
          </cell>
          <cell r="AR5">
            <v>4</v>
          </cell>
          <cell r="AS5">
            <v>4</v>
          </cell>
          <cell r="AT5" t="str">
            <v>PHI</v>
          </cell>
          <cell r="AU5" t="str">
            <v>NYC</v>
          </cell>
          <cell r="AV5" t="str">
            <v>All Electric</v>
          </cell>
          <cell r="AW5" t="str">
            <v>Market Rate</v>
          </cell>
          <cell r="AX5" t="str">
            <v>Yes</v>
          </cell>
          <cell r="AY5" t="str">
            <v>Block and Steel Joists</v>
          </cell>
          <cell r="AZ5" t="str">
            <v>VRF - ASHP</v>
          </cell>
          <cell r="BA5" t="str">
            <v>ERV</v>
          </cell>
          <cell r="BB5" t="str">
            <v xml:space="preserve">ASHP w/ CO2 </v>
          </cell>
          <cell r="BC5" t="str">
            <v>Yes</v>
          </cell>
          <cell r="BD5" t="str">
            <v>Mid Rise</v>
          </cell>
          <cell r="BE5" t="str">
            <v>PV</v>
          </cell>
          <cell r="BF5" t="str">
            <v>No</v>
          </cell>
          <cell r="BG5" t="str">
            <v>No</v>
          </cell>
          <cell r="BH5" t="str">
            <v>No</v>
          </cell>
          <cell r="BI5" t="str">
            <v>No</v>
          </cell>
          <cell r="BJ5">
            <v>4</v>
          </cell>
          <cell r="BK5" t="str">
            <v>No</v>
          </cell>
          <cell r="BL5" t="str">
            <v>NC</v>
          </cell>
          <cell r="BM5" t="str">
            <v>2016 ECCC of NYS</v>
          </cell>
          <cell r="BN5" t="str">
            <v>Requires Grid Power</v>
          </cell>
          <cell r="BP5">
            <v>1115.75</v>
          </cell>
          <cell r="BQ5" t="str">
            <v>No</v>
          </cell>
          <cell r="BR5" t="str">
            <v>?</v>
          </cell>
          <cell r="BS5" t="str">
            <v>No</v>
          </cell>
          <cell r="BT5" t="str">
            <v>-</v>
          </cell>
          <cell r="BW5" t="str">
            <v>-</v>
          </cell>
          <cell r="BX5">
            <v>100503</v>
          </cell>
          <cell r="BY5">
            <v>12972</v>
          </cell>
          <cell r="BZ5">
            <v>0.87092922599325395</v>
          </cell>
          <cell r="CA5" t="str">
            <v>-</v>
          </cell>
          <cell r="CB5">
            <v>993.38</v>
          </cell>
          <cell r="CF5">
            <v>0.22258122339233699</v>
          </cell>
          <cell r="CG5">
            <v>2.9065650907461347</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0</v>
          </cell>
          <cell r="DM5">
            <v>0</v>
          </cell>
          <cell r="DN5">
            <v>0</v>
          </cell>
          <cell r="DO5">
            <v>0</v>
          </cell>
          <cell r="DP5">
            <v>0</v>
          </cell>
          <cell r="DQ5" t="e">
            <v>#DIV/0!</v>
          </cell>
          <cell r="DR5" t="e">
            <v>#DIV/0!</v>
          </cell>
          <cell r="DS5">
            <v>0</v>
          </cell>
          <cell r="DT5">
            <v>0</v>
          </cell>
          <cell r="DU5">
            <v>0</v>
          </cell>
          <cell r="DV5" t="e">
            <v>#DIV/0!</v>
          </cell>
          <cell r="EL5">
            <v>0</v>
          </cell>
          <cell r="EP5" t="e">
            <v>#DIV/0!</v>
          </cell>
          <cell r="EQ5" t="e">
            <v>#DIV/0!</v>
          </cell>
          <cell r="ER5">
            <v>0</v>
          </cell>
          <cell r="ES5">
            <v>0</v>
          </cell>
          <cell r="ET5">
            <v>0</v>
          </cell>
          <cell r="EU5" t="e">
            <v>#DIV/0!</v>
          </cell>
          <cell r="EV5">
            <v>0</v>
          </cell>
          <cell r="EW5">
            <v>0</v>
          </cell>
          <cell r="EX5">
            <v>0</v>
          </cell>
          <cell r="EY5">
            <v>0</v>
          </cell>
          <cell r="EZ5">
            <v>0</v>
          </cell>
          <cell r="FA5">
            <v>0</v>
          </cell>
          <cell r="FB5">
            <v>0</v>
          </cell>
          <cell r="FC5">
            <v>0</v>
          </cell>
          <cell r="FD5">
            <v>0</v>
          </cell>
          <cell r="FE5">
            <v>0</v>
          </cell>
          <cell r="FF5">
            <v>0</v>
          </cell>
          <cell r="FG5">
            <v>0</v>
          </cell>
          <cell r="FH5">
            <v>0</v>
          </cell>
          <cell r="FI5">
            <v>0</v>
          </cell>
          <cell r="FJ5">
            <v>0</v>
          </cell>
          <cell r="FK5" t="str">
            <v>Downstate</v>
          </cell>
          <cell r="FL5" t="str">
            <v>ConEd</v>
          </cell>
          <cell r="FM5" t="str">
            <v>National Grid</v>
          </cell>
          <cell r="FN5" t="e">
            <v>#DIV/0!</v>
          </cell>
          <cell r="FO5" t="e">
            <v>#DIV/0!</v>
          </cell>
        </row>
        <row r="6">
          <cell r="C6" t="str">
            <v>Tree of Life</v>
          </cell>
          <cell r="D6">
            <v>186891</v>
          </cell>
          <cell r="E6" t="str">
            <v>The Bluestone Organization - 10/2/2019 changed to TOL Workforce LLC</v>
          </cell>
          <cell r="H6" t="str">
            <v>YES</v>
          </cell>
          <cell r="I6" t="str">
            <v>Milestone 2</v>
          </cell>
          <cell r="J6" t="str">
            <v>Under Construction</v>
          </cell>
          <cell r="K6">
            <v>67854834.129999995</v>
          </cell>
          <cell r="L6">
            <v>317.93590255033428</v>
          </cell>
          <cell r="M6" t="str">
            <v>$0 incremental cost associated with the project’s use of a VRF ASHPs for heating/cooling.  
The current standard building envelope and HVAC system for all of Bluestone’s new
buildings produces a building that is easily adapted to the Passive House Standard with a
minimal increase in overall construction costs. The addition of ERV units, enhanced air
sealing, and incorporating solar and cogeneration systems only increase construction
costs 3-5%.</v>
          </cell>
          <cell r="N6">
            <v>1098088.0540000051</v>
          </cell>
          <cell r="O6">
            <v>6.5507843765667486</v>
          </cell>
          <cell r="P6">
            <v>2.060410392163765E-2</v>
          </cell>
          <cell r="Q6">
            <v>1005526</v>
          </cell>
          <cell r="R6">
            <v>1.4818782079307105E-2</v>
          </cell>
          <cell r="S6">
            <v>92562.054000005126</v>
          </cell>
          <cell r="T6">
            <v>1.8670286116169068</v>
          </cell>
          <cell r="U6">
            <v>5.8723428107378553E-3</v>
          </cell>
          <cell r="V6">
            <v>0</v>
          </cell>
          <cell r="Y6">
            <v>500000</v>
          </cell>
          <cell r="Z6">
            <v>300000</v>
          </cell>
          <cell r="AG6" t="str">
            <v>VRF - ASHP</v>
          </cell>
          <cell r="AH6" t="str">
            <v>ERV</v>
          </cell>
          <cell r="AI6" t="str">
            <v>ICF</v>
          </cell>
          <cell r="AJ6" t="str">
            <v>ICF</v>
          </cell>
          <cell r="AK6" t="str">
            <v>CHP</v>
          </cell>
          <cell r="AL6">
            <v>1674239</v>
          </cell>
          <cell r="AM6" t="str">
            <v>Onsite Solar electric (PV) Owned</v>
          </cell>
          <cell r="AO6">
            <v>213423</v>
          </cell>
          <cell r="AP6">
            <v>156200</v>
          </cell>
          <cell r="AQ6">
            <v>1</v>
          </cell>
          <cell r="AR6">
            <v>12</v>
          </cell>
          <cell r="AS6">
            <v>174</v>
          </cell>
          <cell r="AT6" t="str">
            <v>Phius</v>
          </cell>
          <cell r="AU6" t="str">
            <v>NYC</v>
          </cell>
          <cell r="AV6" t="str">
            <v>Fossil Fuels</v>
          </cell>
          <cell r="AW6" t="str">
            <v>LMI</v>
          </cell>
          <cell r="AX6" t="str">
            <v>Yes</v>
          </cell>
          <cell r="AY6" t="str">
            <v xml:space="preserve">ICF and Plank </v>
          </cell>
          <cell r="AZ6" t="str">
            <v>VRF - ASHP</v>
          </cell>
          <cell r="BA6" t="str">
            <v>ERV</v>
          </cell>
          <cell r="BB6" t="str">
            <v>Fossil Fuel</v>
          </cell>
          <cell r="BC6" t="str">
            <v>Yes</v>
          </cell>
          <cell r="BD6" t="str">
            <v>Mid Rise</v>
          </cell>
          <cell r="BE6" t="str">
            <v>PV</v>
          </cell>
          <cell r="BF6" t="str">
            <v>No</v>
          </cell>
          <cell r="BG6" t="str">
            <v>No</v>
          </cell>
          <cell r="BH6" t="str">
            <v>No</v>
          </cell>
          <cell r="BI6" t="str">
            <v>No</v>
          </cell>
          <cell r="BJ6">
            <v>4</v>
          </cell>
          <cell r="BK6" t="str">
            <v>Yes</v>
          </cell>
          <cell r="BL6" t="str">
            <v>NC</v>
          </cell>
          <cell r="BM6" t="str">
            <v>2014 ECCC of NYS (commercial only)</v>
          </cell>
          <cell r="BN6" t="str">
            <v>Requires Grid Power</v>
          </cell>
          <cell r="BP6">
            <v>897.70114942528733</v>
          </cell>
          <cell r="BQ6" t="str">
            <v>Yes</v>
          </cell>
          <cell r="BR6" t="str">
            <v>No</v>
          </cell>
          <cell r="BS6" t="str">
            <v>Yes</v>
          </cell>
          <cell r="BT6" t="str">
            <v>PHIUS+ 2015</v>
          </cell>
          <cell r="BW6" t="str">
            <v>-</v>
          </cell>
          <cell r="BX6">
            <v>8758523</v>
          </cell>
          <cell r="BY6">
            <v>7084284</v>
          </cell>
          <cell r="BZ6">
            <v>0.191155403713617</v>
          </cell>
          <cell r="CA6" t="str">
            <v>-</v>
          </cell>
          <cell r="CB6">
            <v>70693.27</v>
          </cell>
          <cell r="CF6">
            <v>0.45258175416133167</v>
          </cell>
          <cell r="CG6">
            <v>33.193629552578685</v>
          </cell>
          <cell r="CH6" t="str">
            <v>M2</v>
          </cell>
          <cell r="CJ6">
            <v>366127.82999999996</v>
          </cell>
          <cell r="CK6">
            <v>8908493.25</v>
          </cell>
          <cell r="CL6">
            <v>575000</v>
          </cell>
          <cell r="CM6">
            <v>625000</v>
          </cell>
          <cell r="CN6">
            <v>679194.51</v>
          </cell>
          <cell r="CO6">
            <v>300000</v>
          </cell>
          <cell r="CP6">
            <v>0</v>
          </cell>
          <cell r="CQ6">
            <v>0</v>
          </cell>
          <cell r="CR6">
            <v>1195947.3</v>
          </cell>
          <cell r="CS6">
            <v>55205071.239999987</v>
          </cell>
          <cell r="CT6">
            <v>67854834.129999995</v>
          </cell>
          <cell r="CU6">
            <v>-300000</v>
          </cell>
          <cell r="CV6">
            <v>0</v>
          </cell>
          <cell r="CW6">
            <v>0</v>
          </cell>
          <cell r="CX6">
            <v>0</v>
          </cell>
          <cell r="CY6">
            <v>0</v>
          </cell>
          <cell r="CZ6">
            <v>-20000</v>
          </cell>
          <cell r="DA6">
            <v>0</v>
          </cell>
          <cell r="DB6">
            <v>-320000</v>
          </cell>
          <cell r="DC6">
            <v>-500000</v>
          </cell>
          <cell r="DD6">
            <v>0</v>
          </cell>
          <cell r="DE6">
            <v>-185526</v>
          </cell>
          <cell r="DF6">
            <v>0</v>
          </cell>
          <cell r="DG6">
            <v>0</v>
          </cell>
          <cell r="DH6">
            <v>0</v>
          </cell>
          <cell r="DI6">
            <v>-185526</v>
          </cell>
          <cell r="DJ6">
            <v>66849308.129999995</v>
          </cell>
          <cell r="DK6">
            <v>1.7155031557048677</v>
          </cell>
          <cell r="DL6">
            <v>41.741017837815043</v>
          </cell>
          <cell r="DM6">
            <v>4.1802462584159449E-2</v>
          </cell>
          <cell r="DN6">
            <v>5.179104460721649</v>
          </cell>
          <cell r="DO6">
            <v>0.40567356870793236</v>
          </cell>
          <cell r="DP6">
            <v>1.0171227785780776</v>
          </cell>
          <cell r="DQ6">
            <v>4.1098737993655654E-2</v>
          </cell>
          <cell r="DR6">
            <v>1.5041681479254526E-2</v>
          </cell>
          <cell r="DS6">
            <v>317.93590255033428</v>
          </cell>
          <cell r="DT6">
            <v>313.22447969525308</v>
          </cell>
          <cell r="DU6">
            <v>12649762.890000001</v>
          </cell>
          <cell r="DV6">
            <v>0.1864239011440938</v>
          </cell>
          <cell r="DW6">
            <v>347821.43849999993</v>
          </cell>
          <cell r="DX6">
            <v>8463068.5875000004</v>
          </cell>
          <cell r="DY6">
            <v>575000</v>
          </cell>
          <cell r="DZ6">
            <v>625000</v>
          </cell>
          <cell r="EA6">
            <v>72837.510000000009</v>
          </cell>
          <cell r="EB6">
            <v>300000</v>
          </cell>
          <cell r="EC6">
            <v>0</v>
          </cell>
          <cell r="ED6">
            <v>0</v>
          </cell>
          <cell r="EE6">
            <v>1167947.3</v>
          </cell>
          <cell r="EF6">
            <v>55205071.239999987</v>
          </cell>
          <cell r="EG6">
            <v>66756746.07599999</v>
          </cell>
          <cell r="EH6">
            <v>-300000</v>
          </cell>
          <cell r="EI6">
            <v>0</v>
          </cell>
          <cell r="EJ6">
            <v>0</v>
          </cell>
          <cell r="EK6">
            <v>66456746.07599999</v>
          </cell>
          <cell r="EL6">
            <v>1.6297279979196242</v>
          </cell>
          <cell r="EP6">
            <v>4.1098737993655654E-2</v>
          </cell>
          <cell r="EQ6">
            <v>4.5142143982932863E-3</v>
          </cell>
          <cell r="ER6">
            <v>312.79077735764184</v>
          </cell>
          <cell r="ES6">
            <v>311.38511817376752</v>
          </cell>
          <cell r="ET6">
            <v>11551674.836000001</v>
          </cell>
          <cell r="EU6">
            <v>0.17304131065419012</v>
          </cell>
          <cell r="EV6">
            <v>18306.391500000027</v>
          </cell>
          <cell r="EW6">
            <v>445424.66249999963</v>
          </cell>
          <cell r="EX6">
            <v>0</v>
          </cell>
          <cell r="EY6">
            <v>0</v>
          </cell>
          <cell r="EZ6">
            <v>606357</v>
          </cell>
          <cell r="FA6">
            <v>0</v>
          </cell>
          <cell r="FB6">
            <v>0</v>
          </cell>
          <cell r="FC6">
            <v>0</v>
          </cell>
          <cell r="FD6">
            <v>28000</v>
          </cell>
          <cell r="FE6">
            <v>0</v>
          </cell>
          <cell r="FF6">
            <v>1098088.0540000051</v>
          </cell>
          <cell r="FG6">
            <v>-20000</v>
          </cell>
          <cell r="FH6">
            <v>-500000</v>
          </cell>
          <cell r="FI6">
            <v>-185526</v>
          </cell>
          <cell r="FJ6">
            <v>392562.05400000513</v>
          </cell>
          <cell r="FK6" t="str">
            <v>Downstate</v>
          </cell>
          <cell r="FL6" t="str">
            <v>ConEd</v>
          </cell>
          <cell r="FM6" t="str">
            <v>National Grid</v>
          </cell>
          <cell r="FN6">
            <v>2.060410392163765E-2</v>
          </cell>
          <cell r="FO6">
            <v>5.8723428107378553E-3</v>
          </cell>
        </row>
        <row r="7">
          <cell r="C7" t="str">
            <v>Rheingold Senior Housing</v>
          </cell>
          <cell r="D7">
            <v>188119</v>
          </cell>
          <cell r="E7" t="str">
            <v>Southside United HDFC - Los Sures</v>
          </cell>
          <cell r="H7" t="str">
            <v>YES</v>
          </cell>
          <cell r="I7" t="str">
            <v>Milestone 2</v>
          </cell>
          <cell r="J7" t="str">
            <v>Late Design</v>
          </cell>
          <cell r="K7">
            <v>56364006.340000004</v>
          </cell>
          <cell r="L7">
            <v>765.34943865690457</v>
          </cell>
          <cell r="M7" t="str">
            <v>the increase in construction cost to reach our current efficiency is
approximately 1‐2%.</v>
          </cell>
          <cell r="N7">
            <v>16961458.189999998</v>
          </cell>
          <cell r="O7">
            <v>244.28674108694705</v>
          </cell>
          <cell r="P7">
            <v>0.31918327596299106</v>
          </cell>
          <cell r="Q7">
            <v>1028990</v>
          </cell>
          <cell r="R7">
            <v>1.8256154358384454E-2</v>
          </cell>
          <cell r="S7">
            <v>15932468.189999998</v>
          </cell>
          <cell r="T7">
            <v>234.59724715279722</v>
          </cell>
          <cell r="U7">
            <v>0.30652305378898159</v>
          </cell>
          <cell r="V7">
            <v>0</v>
          </cell>
          <cell r="Y7">
            <v>750000</v>
          </cell>
          <cell r="Z7">
            <v>300000</v>
          </cell>
          <cell r="AG7" t="str">
            <v>VRF - ASHP</v>
          </cell>
          <cell r="AH7" t="str">
            <v>ERV</v>
          </cell>
          <cell r="AI7" t="str">
            <v>On Site</v>
          </cell>
          <cell r="AJ7" t="str">
            <v>The buildings structure is a common block and plank structure with a concrete foundation and
some steel.   single cladding system with
minimal protrusions into the envelope, to simplify the construction.
Stone wool &amp; foam glass insulation, glass fiber panel rain screen</v>
          </cell>
          <cell r="AK7" t="str">
            <v>ASHP</v>
          </cell>
          <cell r="AL7">
            <v>418916</v>
          </cell>
          <cell r="AM7" t="str">
            <v>Onsite Solar electric (PV) Owned</v>
          </cell>
          <cell r="AO7">
            <v>73644.800000000003</v>
          </cell>
          <cell r="AP7">
            <v>73644.800000000003</v>
          </cell>
          <cell r="AQ7">
            <v>1</v>
          </cell>
          <cell r="AR7">
            <v>8</v>
          </cell>
          <cell r="AS7">
            <v>94</v>
          </cell>
          <cell r="AT7" t="str">
            <v>ASHRAE</v>
          </cell>
          <cell r="AU7" t="str">
            <v>NYC</v>
          </cell>
          <cell r="AV7" t="str">
            <v>All Electric</v>
          </cell>
          <cell r="AW7" t="str">
            <v>LMI</v>
          </cell>
          <cell r="AX7" t="str">
            <v>Yes</v>
          </cell>
          <cell r="AY7" t="str">
            <v>Block and Plank</v>
          </cell>
          <cell r="AZ7" t="str">
            <v>VRF - ASHP</v>
          </cell>
          <cell r="BA7" t="str">
            <v>ERV</v>
          </cell>
          <cell r="BB7" t="str">
            <v>ASHP</v>
          </cell>
          <cell r="BC7" t="str">
            <v>Yes</v>
          </cell>
          <cell r="BD7" t="str">
            <v>Mid Rise</v>
          </cell>
          <cell r="BE7" t="str">
            <v>PV</v>
          </cell>
          <cell r="BF7" t="str">
            <v>No</v>
          </cell>
          <cell r="BG7" t="str">
            <v>No</v>
          </cell>
          <cell r="BH7" t="str">
            <v>No</v>
          </cell>
          <cell r="BI7" t="str">
            <v>No</v>
          </cell>
          <cell r="BJ7">
            <v>4</v>
          </cell>
          <cell r="BK7" t="str">
            <v>No</v>
          </cell>
          <cell r="BL7" t="str">
            <v>NC</v>
          </cell>
          <cell r="BM7" t="str">
            <v>2016 ECCC of NYS</v>
          </cell>
          <cell r="BN7" t="str">
            <v>Requires Grid Power</v>
          </cell>
          <cell r="BP7">
            <v>783.45531914893616</v>
          </cell>
          <cell r="BQ7" t="str">
            <v>Yes</v>
          </cell>
          <cell r="BR7" t="str">
            <v>?</v>
          </cell>
          <cell r="BS7" t="str">
            <v>No</v>
          </cell>
          <cell r="BT7" t="str">
            <v>-</v>
          </cell>
          <cell r="BW7">
            <v>7370274</v>
          </cell>
          <cell r="BX7">
            <v>4414341</v>
          </cell>
          <cell r="BY7">
            <v>3995425</v>
          </cell>
          <cell r="BZ7">
            <v>9.489887618559599E-2</v>
          </cell>
          <cell r="CA7">
            <v>107424.33</v>
          </cell>
          <cell r="CB7">
            <v>55225.38</v>
          </cell>
          <cell r="CF7">
            <v>0.7498883831580776</v>
          </cell>
          <cell r="CG7">
            <v>54.25264241331363</v>
          </cell>
          <cell r="CH7" t="str">
            <v>M2</v>
          </cell>
          <cell r="CJ7">
            <v>1965400</v>
          </cell>
          <cell r="CK7">
            <v>5651719.0199999996</v>
          </cell>
          <cell r="CL7">
            <v>1791250</v>
          </cell>
          <cell r="CM7">
            <v>239216.96</v>
          </cell>
          <cell r="CN7">
            <v>2535918.75</v>
          </cell>
          <cell r="CO7">
            <v>294500</v>
          </cell>
          <cell r="CP7">
            <v>0</v>
          </cell>
          <cell r="CQ7">
            <v>310000</v>
          </cell>
          <cell r="CR7">
            <v>2405000</v>
          </cell>
          <cell r="CS7">
            <v>41171001.610000007</v>
          </cell>
          <cell r="CT7">
            <v>56364006.340000004</v>
          </cell>
          <cell r="CU7">
            <v>-300000</v>
          </cell>
          <cell r="CV7">
            <v>-39240</v>
          </cell>
          <cell r="CW7">
            <v>0</v>
          </cell>
          <cell r="CX7">
            <v>0</v>
          </cell>
          <cell r="CY7">
            <v>0</v>
          </cell>
          <cell r="CZ7">
            <v>0</v>
          </cell>
          <cell r="DA7">
            <v>0</v>
          </cell>
          <cell r="DB7">
            <v>-339240</v>
          </cell>
          <cell r="DC7">
            <v>-637500</v>
          </cell>
          <cell r="DD7">
            <v>0</v>
          </cell>
          <cell r="DE7">
            <v>-52250</v>
          </cell>
          <cell r="DF7">
            <v>0</v>
          </cell>
          <cell r="DG7">
            <v>0</v>
          </cell>
          <cell r="DH7">
            <v>0</v>
          </cell>
          <cell r="DI7">
            <v>-52250</v>
          </cell>
          <cell r="DJ7">
            <v>55335016.340000004</v>
          </cell>
          <cell r="DK7">
            <v>26.687559746241416</v>
          </cell>
          <cell r="DL7">
            <v>76.742947499348219</v>
          </cell>
          <cell r="DM7">
            <v>0.44523066976475084</v>
          </cell>
          <cell r="DN7">
            <v>35.588709394122773</v>
          </cell>
          <cell r="DO7">
            <v>6.0535256471464445</v>
          </cell>
          <cell r="DP7">
            <v>1.2803086621536486</v>
          </cell>
          <cell r="DQ7">
            <v>0.34775260288859872</v>
          </cell>
          <cell r="DR7">
            <v>1.8595639218347431E-2</v>
          </cell>
          <cell r="DS7">
            <v>765.34943865690457</v>
          </cell>
          <cell r="DT7">
            <v>751.3771011666812</v>
          </cell>
          <cell r="DU7">
            <v>15193004.73</v>
          </cell>
          <cell r="DV7">
            <v>0.26955154036340989</v>
          </cell>
          <cell r="DW7">
            <v>2040400</v>
          </cell>
          <cell r="DX7">
            <v>20555045.059999999</v>
          </cell>
          <cell r="DY7">
            <v>2549800</v>
          </cell>
          <cell r="DZ7">
            <v>239217</v>
          </cell>
          <cell r="EA7">
            <v>250000</v>
          </cell>
          <cell r="EB7">
            <v>3795818.75</v>
          </cell>
          <cell r="EC7">
            <v>0</v>
          </cell>
          <cell r="ED7">
            <v>310000</v>
          </cell>
          <cell r="EE7">
            <v>8025192</v>
          </cell>
          <cell r="EF7">
            <v>1637075.34</v>
          </cell>
          <cell r="EG7">
            <v>39402548.150000006</v>
          </cell>
          <cell r="EH7">
            <v>-339240</v>
          </cell>
          <cell r="EI7">
            <v>-637500</v>
          </cell>
          <cell r="EJ7">
            <v>-52250</v>
          </cell>
          <cell r="EK7">
            <v>38373558.150000006</v>
          </cell>
          <cell r="EL7">
            <v>27.705961588598242</v>
          </cell>
          <cell r="EP7">
            <v>9.9265167945100097E-2</v>
          </cell>
          <cell r="EQ7">
            <v>2.681507917451225E-2</v>
          </cell>
          <cell r="ER7">
            <v>535.0350350601808</v>
          </cell>
          <cell r="ES7">
            <v>521.06269756995744</v>
          </cell>
          <cell r="ET7">
            <v>37765472.810000002</v>
          </cell>
          <cell r="EU7">
            <v>0.95845255150078401</v>
          </cell>
          <cell r="EV7">
            <v>-75000</v>
          </cell>
          <cell r="EW7">
            <v>-14903326.039999999</v>
          </cell>
          <cell r="EX7">
            <v>-758550</v>
          </cell>
          <cell r="EY7">
            <v>-4.0000000008149073E-2</v>
          </cell>
          <cell r="EZ7">
            <v>2285918.75</v>
          </cell>
          <cell r="FA7">
            <v>-3501318.75</v>
          </cell>
          <cell r="FB7">
            <v>0</v>
          </cell>
          <cell r="FC7">
            <v>0</v>
          </cell>
          <cell r="FD7">
            <v>-5620192</v>
          </cell>
          <cell r="FE7">
            <v>39533926.270000003</v>
          </cell>
          <cell r="FF7">
            <v>16961458.189999998</v>
          </cell>
          <cell r="FG7">
            <v>0</v>
          </cell>
          <cell r="FH7">
            <v>0</v>
          </cell>
          <cell r="FI7">
            <v>0</v>
          </cell>
          <cell r="FJ7">
            <v>16961458.189999998</v>
          </cell>
          <cell r="FK7" t="str">
            <v>Downstate</v>
          </cell>
          <cell r="FL7" t="str">
            <v>ConEd</v>
          </cell>
          <cell r="FM7" t="str">
            <v>N/A</v>
          </cell>
          <cell r="FN7">
            <v>0.31918327596299106</v>
          </cell>
          <cell r="FO7">
            <v>0.30652305378898159</v>
          </cell>
        </row>
        <row r="8">
          <cell r="C8" t="str">
            <v>Park Haven</v>
          </cell>
          <cell r="D8">
            <v>187927</v>
          </cell>
          <cell r="E8" t="str">
            <v>The Community Builders, Inc.</v>
          </cell>
          <cell r="F8" t="str">
            <v>Bright Power</v>
          </cell>
          <cell r="G8" t="str">
            <v xml:space="preserve">	Desiree	Andrepont	desiree.andrepont@tcbinc.org</v>
          </cell>
          <cell r="H8" t="str">
            <v>YES</v>
          </cell>
          <cell r="I8" t="str">
            <v>Milestone 3</v>
          </cell>
          <cell r="J8" t="str">
            <v>Under Construction</v>
          </cell>
          <cell r="K8">
            <v>94135276.839999989</v>
          </cell>
          <cell r="L8">
            <v>522.5238091643306</v>
          </cell>
          <cell r="M8" t="str">
            <v>Traditional energy efficiency strategies add directly to project’s cost and pay for themselves over time through lower energy costs, or other financial benefits. The high-performance envelope is offset by the decreased costs of heating and cooling systems. The optimally designed and highly efficient systems operate more reliably and effectively, lowering the usage and demand. Energy cost savings is projected to be 38% over baseline code buildings. Even though ERVs and VRFs will result in higher upfront costs than other HVAC systems, such as PTACs or baseboard heaters, it will ultimately result in higher savings in long term. The tenants and owner will have reduced energy, heating and cooling bills. Since this building will be home to low-income and homeless residents, recouping costs via rent premiums is not a favored strategy. Instead, the owner will be consistently recovering costs through operational savings both in terms of energy savings and reduced maintenance.
Park Haven’s total development cost is $90,713,000.  The Developer (or TCB?) has secured financing from several public and private sources, including; $33,592,812 Low-Income Housing Tax Credit (LIHTC) Equity, $12,980,000 first mortgage from New York City Housing Development Corporation (HDC), $11,070,000 subsidy loan from NYC Housing Development Corporation (HDC), $22,250,000 subsidy loan from NYC Housing Development and Preservation’s (HPD), Extremely Low &amp; Low-Income Affordability (ELLA) Program and $1,000,000 subordinate loan from NYC Resolution A.  
Stated 5-10% inc cost</v>
          </cell>
          <cell r="N8">
            <v>1973585.0600000024</v>
          </cell>
          <cell r="O8">
            <v>10.95492803419279</v>
          </cell>
          <cell r="P8">
            <v>2.0965414096082904E-2</v>
          </cell>
          <cell r="Q8">
            <v>1258200</v>
          </cell>
          <cell r="R8">
            <v>1.3365871352761193E-2</v>
          </cell>
          <cell r="S8">
            <v>715385.06000000238</v>
          </cell>
          <cell r="T8">
            <v>4.024736127455995</v>
          </cell>
          <cell r="U8">
            <v>7.7024932775651561E-3</v>
          </cell>
          <cell r="V8">
            <v>0</v>
          </cell>
          <cell r="Y8">
            <v>750000</v>
          </cell>
          <cell r="Z8">
            <v>300000</v>
          </cell>
          <cell r="AG8" t="str">
            <v>VRF - ASHP</v>
          </cell>
          <cell r="AH8" t="str">
            <v>ERV</v>
          </cell>
          <cell r="AI8" t="str">
            <v>On Site</v>
          </cell>
          <cell r="AJ8" t="str">
            <v xml:space="preserve"> 10” R-50 polyisocyanurate insulation on entire roof areas. The exterior wall assembly will be a brick, EIFS, and composite concrete rain screen panel systems.  These systems will be integrated into a lightweight metal stud and CMU substructures. The primary above-grade wall assembly consists a brick veneer with 3” R-24 Kingspan Kooltherm K8 continuous exterior rigid insulation and 1” R-4 of Mineral Wool interior semi-rigid on the front facades and 4” R-16 expanded polystyrene (EPS) Exterior Insulation &amp; Finish System (EIFS) and 2” R-8 Mineral Wool interior semi-rigid on the rear and back facades. 
Double-pane high performance Intus residential high-performance windows  </v>
          </cell>
          <cell r="AK8" t="str">
            <v>Gas roof HWH</v>
          </cell>
          <cell r="AL8">
            <v>131675</v>
          </cell>
          <cell r="AM8" t="str">
            <v>Onsite Solar electric (PV) Owned</v>
          </cell>
          <cell r="AN8" t="str">
            <v>Smart buildings controls and monitoring</v>
          </cell>
          <cell r="AO8">
            <v>180155</v>
          </cell>
          <cell r="AP8">
            <v>157525</v>
          </cell>
          <cell r="AQ8">
            <v>1</v>
          </cell>
          <cell r="AR8">
            <v>10</v>
          </cell>
          <cell r="AS8">
            <v>178</v>
          </cell>
          <cell r="AT8" t="str">
            <v>ASHRAE</v>
          </cell>
          <cell r="AU8" t="str">
            <v>NYC</v>
          </cell>
          <cell r="AV8" t="str">
            <v>Fossil Fuels</v>
          </cell>
          <cell r="AW8" t="str">
            <v>LMI</v>
          </cell>
          <cell r="AX8" t="str">
            <v>Yes</v>
          </cell>
          <cell r="AY8" t="str">
            <v>Block and Plank</v>
          </cell>
          <cell r="AZ8" t="str">
            <v>VRF - ASHP</v>
          </cell>
          <cell r="BA8" t="str">
            <v>ERV</v>
          </cell>
          <cell r="BB8" t="str">
            <v>Fossil Fuel</v>
          </cell>
          <cell r="BC8" t="str">
            <v>Yes</v>
          </cell>
          <cell r="BD8" t="str">
            <v>Mid Rise</v>
          </cell>
          <cell r="BE8" t="str">
            <v>PV</v>
          </cell>
          <cell r="BF8" t="str">
            <v>No</v>
          </cell>
          <cell r="BG8" t="str">
            <v>No</v>
          </cell>
          <cell r="BH8" t="str">
            <v>No</v>
          </cell>
          <cell r="BI8" t="str">
            <v>No</v>
          </cell>
          <cell r="BJ8">
            <v>4</v>
          </cell>
          <cell r="BK8" t="str">
            <v>Yes</v>
          </cell>
          <cell r="BL8" t="str">
            <v>NC</v>
          </cell>
          <cell r="BM8" t="str">
            <v>2014 ECCC of NYS</v>
          </cell>
          <cell r="BN8" t="str">
            <v>Requires Grid Power</v>
          </cell>
          <cell r="BP8">
            <v>884.97191011235952</v>
          </cell>
          <cell r="BQ8" t="str">
            <v>Yes</v>
          </cell>
          <cell r="BR8" t="str">
            <v>No</v>
          </cell>
          <cell r="BS8" t="str">
            <v>Yes</v>
          </cell>
          <cell r="BT8" t="str">
            <v>-</v>
          </cell>
          <cell r="BW8">
            <v>6854372</v>
          </cell>
          <cell r="BX8">
            <v>3381094</v>
          </cell>
          <cell r="BY8">
            <v>3249419</v>
          </cell>
          <cell r="BZ8">
            <v>3.8944495479865393E-2</v>
          </cell>
          <cell r="CA8">
            <v>294926</v>
          </cell>
          <cell r="CB8">
            <v>209462.04</v>
          </cell>
          <cell r="CF8">
            <v>1.3297066497381369</v>
          </cell>
          <cell r="CG8">
            <v>18.036796092253894</v>
          </cell>
          <cell r="CH8" t="str">
            <v>M3</v>
          </cell>
          <cell r="CJ8">
            <v>2028100</v>
          </cell>
          <cell r="CK8">
            <v>8918168</v>
          </cell>
          <cell r="CL8">
            <v>91500</v>
          </cell>
          <cell r="CM8">
            <v>404336</v>
          </cell>
          <cell r="CN8">
            <v>339261</v>
          </cell>
          <cell r="CO8">
            <v>639515.63</v>
          </cell>
          <cell r="CP8">
            <v>403739.06</v>
          </cell>
          <cell r="CQ8">
            <v>45775</v>
          </cell>
          <cell r="CR8">
            <v>100000</v>
          </cell>
          <cell r="CS8">
            <v>81164882.149999991</v>
          </cell>
          <cell r="CT8">
            <v>94135276.839999989</v>
          </cell>
          <cell r="CU8">
            <v>-300000</v>
          </cell>
          <cell r="CV8">
            <v>-78200</v>
          </cell>
          <cell r="CW8">
            <v>-130000</v>
          </cell>
          <cell r="CX8">
            <v>0</v>
          </cell>
          <cell r="CY8">
            <v>0</v>
          </cell>
          <cell r="CZ8">
            <v>0</v>
          </cell>
          <cell r="DA8">
            <v>0</v>
          </cell>
          <cell r="DB8">
            <v>-508200</v>
          </cell>
          <cell r="DC8">
            <v>-750000</v>
          </cell>
          <cell r="DD8">
            <v>0</v>
          </cell>
          <cell r="DE8">
            <v>0</v>
          </cell>
          <cell r="DF8">
            <v>0</v>
          </cell>
          <cell r="DG8">
            <v>0</v>
          </cell>
          <cell r="DH8">
            <v>0</v>
          </cell>
          <cell r="DI8">
            <v>0</v>
          </cell>
          <cell r="DJ8">
            <v>92877076.839999989</v>
          </cell>
          <cell r="DK8">
            <v>11.25752823957148</v>
          </cell>
          <cell r="DL8">
            <v>49.50275040936971</v>
          </cell>
          <cell r="DM8">
            <v>0.59983543787898241</v>
          </cell>
          <cell r="DN8">
            <v>9.6824226480368463</v>
          </cell>
          <cell r="DO8">
            <v>2.5765027529903173</v>
          </cell>
          <cell r="DP8">
            <v>2.6376575155851922</v>
          </cell>
          <cell r="DQ8">
            <v>0.22741217703008063</v>
          </cell>
          <cell r="DR8">
            <v>1.3546937983066696E-2</v>
          </cell>
          <cell r="DS8">
            <v>522.5238091643306</v>
          </cell>
          <cell r="DT8">
            <v>515.53982315228552</v>
          </cell>
          <cell r="DU8">
            <v>12970394.690000001</v>
          </cell>
          <cell r="DV8">
            <v>0.13778463425614124</v>
          </cell>
          <cell r="DW8">
            <v>1138100</v>
          </cell>
          <cell r="DX8">
            <v>8552583</v>
          </cell>
          <cell r="DY8">
            <v>91500</v>
          </cell>
          <cell r="DZ8">
            <v>404336</v>
          </cell>
          <cell r="EA8">
            <v>25000</v>
          </cell>
          <cell r="EB8">
            <v>639515.63</v>
          </cell>
          <cell r="EC8">
            <v>0</v>
          </cell>
          <cell r="ED8">
            <v>45775</v>
          </cell>
          <cell r="EE8">
            <v>100000</v>
          </cell>
          <cell r="EF8">
            <v>81164882.149999991</v>
          </cell>
          <cell r="EG8">
            <v>92161691.779999986</v>
          </cell>
          <cell r="EH8">
            <v>0</v>
          </cell>
          <cell r="EI8">
            <v>0</v>
          </cell>
          <cell r="EJ8">
            <v>0</v>
          </cell>
          <cell r="EK8">
            <v>92161691.779999986</v>
          </cell>
          <cell r="EL8">
            <v>6.3173378479642528</v>
          </cell>
          <cell r="EP8">
            <v>0.13307090968892088</v>
          </cell>
          <cell r="EQ8">
            <v>0</v>
          </cell>
          <cell r="ER8">
            <v>511.56888113013787</v>
          </cell>
          <cell r="ES8">
            <v>511.56888113013787</v>
          </cell>
          <cell r="ET8">
            <v>10996809.630000001</v>
          </cell>
          <cell r="EU8">
            <v>0.1193208307878135</v>
          </cell>
          <cell r="EV8">
            <v>890000</v>
          </cell>
          <cell r="EW8">
            <v>365585</v>
          </cell>
          <cell r="EX8">
            <v>0</v>
          </cell>
          <cell r="EY8">
            <v>0</v>
          </cell>
          <cell r="EZ8">
            <v>314261</v>
          </cell>
          <cell r="FA8">
            <v>0</v>
          </cell>
          <cell r="FB8">
            <v>403739.06</v>
          </cell>
          <cell r="FC8">
            <v>0</v>
          </cell>
          <cell r="FD8">
            <v>0</v>
          </cell>
          <cell r="FE8">
            <v>0</v>
          </cell>
          <cell r="FF8">
            <v>1973585.0600000024</v>
          </cell>
          <cell r="FG8">
            <v>-508200</v>
          </cell>
          <cell r="FH8">
            <v>-750000</v>
          </cell>
          <cell r="FI8">
            <v>0</v>
          </cell>
          <cell r="FJ8">
            <v>715385.06000000238</v>
          </cell>
          <cell r="FK8" t="str">
            <v>Downstate</v>
          </cell>
          <cell r="FL8" t="str">
            <v>ConEd</v>
          </cell>
          <cell r="FM8" t="str">
            <v>ConEd</v>
          </cell>
          <cell r="FN8">
            <v>2.0965414096082904E-2</v>
          </cell>
          <cell r="FO8">
            <v>7.7024932775651561E-3</v>
          </cell>
        </row>
        <row r="9">
          <cell r="C9" t="str">
            <v>Flow Chelsea 211 West 29th Street</v>
          </cell>
          <cell r="D9">
            <v>187702</v>
          </cell>
          <cell r="E9" t="str">
            <v>ZH Architects - 10/3/2019 changed to 211 Sea Foam Properties, LLC</v>
          </cell>
          <cell r="H9" t="str">
            <v>YES</v>
          </cell>
          <cell r="I9" t="str">
            <v>Milestone 2</v>
          </cell>
          <cell r="J9" t="str">
            <v>Under Construction</v>
          </cell>
          <cell r="K9">
            <v>27515301.850000005</v>
          </cell>
          <cell r="L9">
            <v>425.11088219389734</v>
          </cell>
          <cell r="M9" t="str">
            <v>Costs related to passive house detailing,
materials and specific quality control
testing added approximately 4% to the total
cost compared to a standard building of this
size and quality.</v>
          </cell>
          <cell r="N9">
            <v>1359800</v>
          </cell>
          <cell r="O9">
            <v>16.405987022016248</v>
          </cell>
          <cell r="P9">
            <v>3.8592253713545993E-2</v>
          </cell>
          <cell r="Q9">
            <v>695054</v>
          </cell>
          <cell r="R9">
            <v>2.5260635110931913E-2</v>
          </cell>
          <cell r="S9">
            <v>288080.51000000164</v>
          </cell>
          <cell r="T9">
            <v>5.8142887723374486</v>
          </cell>
          <cell r="U9">
            <v>1.3677111115884098E-2</v>
          </cell>
          <cell r="V9">
            <v>0</v>
          </cell>
          <cell r="Y9">
            <v>500000</v>
          </cell>
          <cell r="Z9">
            <v>154500</v>
          </cell>
          <cell r="AG9" t="str">
            <v>VRF - ASHP</v>
          </cell>
          <cell r="AH9" t="str">
            <v>ERV</v>
          </cell>
          <cell r="AI9" t="str">
            <v>On Site</v>
          </cell>
          <cell r="AJ9" t="str">
            <v>5”-8” of rigid EFIS insulation at the perimeter walls at the seismic gaps as well as 4”-6” at the foundation.
ACC Block which is porous and required additional steps for air sealing.
Triple-paned  windows 
Armatherm or GP plastics thermal breaks were required at the façade and roof connections to
prevent heat and cold transfer through the façade and roof.</v>
          </cell>
          <cell r="AK9" t="str">
            <v>Gas</v>
          </cell>
          <cell r="AL9">
            <v>62783</v>
          </cell>
          <cell r="AM9" t="str">
            <v>Onsite Solar electric (PV) Owned</v>
          </cell>
          <cell r="AN9" t="str">
            <v>Induction cooktop, HP clothes dryer</v>
          </cell>
          <cell r="AO9">
            <v>64725</v>
          </cell>
          <cell r="AP9">
            <v>55672</v>
          </cell>
          <cell r="AQ9">
            <v>1</v>
          </cell>
          <cell r="AR9">
            <v>24</v>
          </cell>
          <cell r="AS9">
            <v>55</v>
          </cell>
          <cell r="AT9" t="str">
            <v>PHI</v>
          </cell>
          <cell r="AU9" t="str">
            <v>NYC</v>
          </cell>
          <cell r="AV9" t="str">
            <v>Fossil Fuels</v>
          </cell>
          <cell r="AW9" t="str">
            <v>Market Rate</v>
          </cell>
          <cell r="AX9" t="str">
            <v>Yes</v>
          </cell>
          <cell r="AY9" t="str">
            <v>Block and Plank</v>
          </cell>
          <cell r="AZ9" t="str">
            <v>Minisplit - ASHP</v>
          </cell>
          <cell r="BA9" t="str">
            <v>ERV</v>
          </cell>
          <cell r="BB9" t="str">
            <v>Fossil Fuel</v>
          </cell>
          <cell r="BC9" t="str">
            <v>Yes</v>
          </cell>
          <cell r="BD9" t="str">
            <v>Mid Rise</v>
          </cell>
          <cell r="BE9" t="str">
            <v>PV</v>
          </cell>
          <cell r="BF9" t="str">
            <v>No</v>
          </cell>
          <cell r="BG9" t="str">
            <v>No</v>
          </cell>
          <cell r="BH9" t="str">
            <v>No</v>
          </cell>
          <cell r="BI9" t="str">
            <v>No</v>
          </cell>
          <cell r="BJ9">
            <v>4</v>
          </cell>
          <cell r="BK9" t="str">
            <v>Yes</v>
          </cell>
          <cell r="BL9" t="str">
            <v>NC</v>
          </cell>
          <cell r="BM9" t="str">
            <v>2014 ECCC of NYS</v>
          </cell>
          <cell r="BN9" t="str">
            <v>Requires Grid Power</v>
          </cell>
          <cell r="BP9">
            <v>1012.2181818181818</v>
          </cell>
          <cell r="BQ9" t="str">
            <v>No</v>
          </cell>
          <cell r="BR9" t="str">
            <v>No</v>
          </cell>
          <cell r="BS9" t="str">
            <v>Yes</v>
          </cell>
          <cell r="BT9" t="str">
            <v>-</v>
          </cell>
          <cell r="BW9" t="str">
            <v>-</v>
          </cell>
          <cell r="BX9">
            <v>1298297</v>
          </cell>
          <cell r="BY9">
            <v>1235514</v>
          </cell>
          <cell r="BZ9">
            <v>4.8357964317871795E-2</v>
          </cell>
          <cell r="CA9" t="str">
            <v>-</v>
          </cell>
          <cell r="CB9">
            <v>76016.97</v>
          </cell>
          <cell r="CF9">
            <v>1.3654434904440294</v>
          </cell>
          <cell r="CG9">
            <v>19.0886674391657</v>
          </cell>
          <cell r="CH9" t="str">
            <v>M2</v>
          </cell>
          <cell r="CJ9">
            <v>1755748.5</v>
          </cell>
          <cell r="CK9">
            <v>5414207.7699999996</v>
          </cell>
          <cell r="CL9">
            <v>356582</v>
          </cell>
          <cell r="CM9">
            <v>462963.94</v>
          </cell>
          <cell r="CN9">
            <v>157000</v>
          </cell>
          <cell r="CO9">
            <v>246715.67</v>
          </cell>
          <cell r="CP9">
            <v>50000</v>
          </cell>
          <cell r="CQ9">
            <v>53050</v>
          </cell>
          <cell r="CR9">
            <v>198249.76</v>
          </cell>
          <cell r="CS9">
            <v>18820784.210000005</v>
          </cell>
          <cell r="CT9">
            <v>27515301.850000005</v>
          </cell>
          <cell r="CU9">
            <v>-139050</v>
          </cell>
          <cell r="CV9">
            <v>-6610</v>
          </cell>
          <cell r="CW9">
            <v>0</v>
          </cell>
          <cell r="CX9">
            <v>0</v>
          </cell>
          <cell r="CY9">
            <v>0</v>
          </cell>
          <cell r="CZ9">
            <v>0</v>
          </cell>
          <cell r="DA9">
            <v>0</v>
          </cell>
          <cell r="DB9">
            <v>-145660</v>
          </cell>
          <cell r="DC9">
            <v>-500000</v>
          </cell>
          <cell r="DD9">
            <v>-49394</v>
          </cell>
          <cell r="DE9">
            <v>0</v>
          </cell>
          <cell r="DF9">
            <v>0</v>
          </cell>
          <cell r="DG9">
            <v>0</v>
          </cell>
          <cell r="DH9">
            <v>0</v>
          </cell>
          <cell r="DI9">
            <v>-49394</v>
          </cell>
          <cell r="DJ9">
            <v>26820247.850000005</v>
          </cell>
          <cell r="DK9">
            <v>27.126280417149477</v>
          </cell>
          <cell r="DL9">
            <v>83.649405484743141</v>
          </cell>
          <cell r="DM9">
            <v>1.3523473442517391</v>
          </cell>
          <cell r="DN9">
            <v>23.096796675794891</v>
          </cell>
          <cell r="DO9">
            <v>2.5006769348390487</v>
          </cell>
          <cell r="DP9">
            <v>4.1702382197601935</v>
          </cell>
          <cell r="DQ9">
            <v>0.32428539401989004</v>
          </cell>
          <cell r="DR9">
            <v>2.5915271323639161E-2</v>
          </cell>
          <cell r="DS9">
            <v>425.11088219389734</v>
          </cell>
          <cell r="DT9">
            <v>414.37231131711093</v>
          </cell>
          <cell r="DU9">
            <v>8694517.6400000006</v>
          </cell>
          <cell r="DV9">
            <v>0.31598845207653059</v>
          </cell>
          <cell r="DW9">
            <v>2005748.5</v>
          </cell>
          <cell r="DX9">
            <v>4737497.7699999996</v>
          </cell>
          <cell r="DY9">
            <v>306582</v>
          </cell>
          <cell r="DZ9">
            <v>352963.94</v>
          </cell>
          <cell r="EA9">
            <v>0</v>
          </cell>
          <cell r="EB9">
            <v>226715.67</v>
          </cell>
          <cell r="EC9">
            <v>0</v>
          </cell>
          <cell r="ED9">
            <v>34500</v>
          </cell>
          <cell r="EE9">
            <v>47375.25</v>
          </cell>
          <cell r="EF9">
            <v>18820784.210000005</v>
          </cell>
          <cell r="EG9">
            <v>26532167.340000004</v>
          </cell>
          <cell r="EH9">
            <v>0</v>
          </cell>
          <cell r="EI9">
            <v>0</v>
          </cell>
          <cell r="EJ9">
            <v>-78743</v>
          </cell>
          <cell r="EK9">
            <v>26453424.340000004</v>
          </cell>
          <cell r="EL9">
            <v>30.988775589030514</v>
          </cell>
          <cell r="EP9">
            <v>0.42337719137332708</v>
          </cell>
          <cell r="EQ9">
            <v>2.9766656667179893E-3</v>
          </cell>
          <cell r="ER9">
            <v>409.9214730011588</v>
          </cell>
          <cell r="ES9">
            <v>408.70489517188111</v>
          </cell>
          <cell r="ET9">
            <v>7711383.1299999999</v>
          </cell>
          <cell r="EU9">
            <v>0.29064278960634654</v>
          </cell>
          <cell r="EV9">
            <v>-250000</v>
          </cell>
          <cell r="EW9">
            <v>676710</v>
          </cell>
          <cell r="EX9">
            <v>50000</v>
          </cell>
          <cell r="EY9">
            <v>110000</v>
          </cell>
          <cell r="EZ9">
            <v>157000</v>
          </cell>
          <cell r="FA9">
            <v>20000</v>
          </cell>
          <cell r="FB9">
            <v>50000</v>
          </cell>
          <cell r="FC9">
            <v>18550</v>
          </cell>
          <cell r="FD9">
            <v>150874.51</v>
          </cell>
          <cell r="FE9">
            <v>0</v>
          </cell>
          <cell r="FF9">
            <v>983134.51000000164</v>
          </cell>
          <cell r="FG9">
            <v>-145660</v>
          </cell>
          <cell r="FH9">
            <v>-500000</v>
          </cell>
          <cell r="FI9">
            <v>29349</v>
          </cell>
          <cell r="FJ9">
            <v>366823.51000000164</v>
          </cell>
          <cell r="FK9" t="str">
            <v>Downstate</v>
          </cell>
          <cell r="FL9" t="str">
            <v>ConEd</v>
          </cell>
          <cell r="FM9" t="str">
            <v>ConEd</v>
          </cell>
          <cell r="FN9">
            <v>3.8592253713545993E-2</v>
          </cell>
          <cell r="FO9">
            <v>1.3677111115884098E-2</v>
          </cell>
        </row>
        <row r="10">
          <cell r="C10" t="str">
            <v>Solara Phase 2</v>
          </cell>
          <cell r="D10">
            <v>187818</v>
          </cell>
          <cell r="E10" t="str">
            <v>Bruns Realty Group LLC</v>
          </cell>
          <cell r="H10" t="str">
            <v>YES</v>
          </cell>
          <cell r="I10" t="str">
            <v>Milestone 4</v>
          </cell>
          <cell r="J10" t="str">
            <v>Completed within 3 years</v>
          </cell>
          <cell r="K10">
            <v>10894446</v>
          </cell>
          <cell r="L10">
            <v>117.79817049435579</v>
          </cell>
          <cell r="M10" t="str">
            <v>$15/sf incremental cost increase (or 14% higher) - all-in, inclusive of all renewable systems.</v>
          </cell>
          <cell r="N10">
            <v>974226</v>
          </cell>
          <cell r="O10">
            <v>10.533995069417411</v>
          </cell>
          <cell r="P10">
            <v>8.942409737952714E-2</v>
          </cell>
          <cell r="Q10">
            <v>1604085</v>
          </cell>
          <cell r="R10">
            <v>0.14723878570787355</v>
          </cell>
          <cell r="S10">
            <v>-629859</v>
          </cell>
          <cell r="T10">
            <v>-1.6177976944804289</v>
          </cell>
          <cell r="U10">
            <v>-1.3733640239836703E-2</v>
          </cell>
          <cell r="V10">
            <v>144000</v>
          </cell>
          <cell r="Y10">
            <v>750000</v>
          </cell>
          <cell r="Z10">
            <v>178400</v>
          </cell>
          <cell r="AA10">
            <v>63582.75</v>
          </cell>
          <cell r="AB10">
            <v>74477.81</v>
          </cell>
          <cell r="AG10" t="str">
            <v>ASHP</v>
          </cell>
          <cell r="AH10" t="str">
            <v>ERV</v>
          </cell>
          <cell r="AI10" t="str">
            <v>On Site</v>
          </cell>
          <cell r="AJ10" t="str">
            <v>The slab is insulated with R-10 of EPS rigid foam, including foam
under the internal footings, and uses an insulation break to isolate the slab from the
stem walls. The wall assembly includes Zip-R sheathing with 1” of polyisocyanurate
rigid insulation for continuous insulation on the exterior plus 3.5” of closed cell spray
foam on the interior of the 2x6 wood framed walls. The roof assembly includes 7” of
polyisocyanurate rigid foam on top of the roof sheathing.
Double pane windows</v>
          </cell>
          <cell r="AK10" t="str">
            <v xml:space="preserve"> Solar Thermal w/ ASHP backup</v>
          </cell>
          <cell r="AL10">
            <v>1561768</v>
          </cell>
          <cell r="AM10" t="str">
            <v>Onsite Solar electric (PV) Owned
and
Onsite Solar electric (PV) Leased</v>
          </cell>
          <cell r="AN10" t="str">
            <v>HP clothes dryers, EV, advanced controls/monitoring strategy for energy, humidity, IAQ,</v>
          </cell>
          <cell r="AO10">
            <v>92484</v>
          </cell>
          <cell r="AP10">
            <v>92484</v>
          </cell>
          <cell r="AQ10">
            <v>3</v>
          </cell>
          <cell r="AR10">
            <v>3</v>
          </cell>
          <cell r="AS10">
            <v>72</v>
          </cell>
          <cell r="AT10" t="str">
            <v>ERI</v>
          </cell>
          <cell r="AU10" t="str">
            <v>Capital Region</v>
          </cell>
          <cell r="AV10" t="str">
            <v>All Electric</v>
          </cell>
          <cell r="AW10" t="str">
            <v>Market Rate</v>
          </cell>
          <cell r="AX10" t="str">
            <v>Yes</v>
          </cell>
          <cell r="AY10" t="str">
            <v>Wood Frame</v>
          </cell>
          <cell r="AZ10" t="str">
            <v>Minisplit - ASHP</v>
          </cell>
          <cell r="BA10" t="str">
            <v>ERV</v>
          </cell>
          <cell r="BB10" t="str">
            <v>Solar Thermal</v>
          </cell>
          <cell r="BC10" t="str">
            <v>Yes</v>
          </cell>
          <cell r="BD10" t="str">
            <v>Low Rise</v>
          </cell>
          <cell r="BE10" t="str">
            <v>PV</v>
          </cell>
          <cell r="BF10" t="str">
            <v>No</v>
          </cell>
          <cell r="BG10" t="str">
            <v>Yes</v>
          </cell>
          <cell r="BH10" t="str">
            <v>No</v>
          </cell>
          <cell r="BI10" t="str">
            <v>ASHP</v>
          </cell>
          <cell r="BJ10">
            <v>5</v>
          </cell>
          <cell r="BK10" t="str">
            <v>No</v>
          </cell>
          <cell r="BL10" t="str">
            <v>NC</v>
          </cell>
          <cell r="BM10" t="str">
            <v>2016 ECCC of NYS</v>
          </cell>
          <cell r="BN10" t="str">
            <v>Net Zero Energy</v>
          </cell>
          <cell r="BP10">
            <v>1284.5</v>
          </cell>
          <cell r="BQ10" t="str">
            <v>No</v>
          </cell>
          <cell r="BR10" t="str">
            <v>No</v>
          </cell>
          <cell r="BS10" t="str">
            <v>No</v>
          </cell>
          <cell r="BT10" t="str">
            <v>-</v>
          </cell>
          <cell r="BW10" t="str">
            <v>-</v>
          </cell>
          <cell r="BX10">
            <v>1784913</v>
          </cell>
          <cell r="BY10">
            <v>0</v>
          </cell>
          <cell r="BZ10">
            <v>1</v>
          </cell>
          <cell r="CA10" t="str">
            <v>-</v>
          </cell>
          <cell r="CB10">
            <v>0</v>
          </cell>
          <cell r="CD10" t="str">
            <v>-</v>
          </cell>
          <cell r="CE10" t="str">
            <v>-</v>
          </cell>
          <cell r="CF10">
            <v>0</v>
          </cell>
          <cell r="CG10">
            <v>0</v>
          </cell>
          <cell r="CH10" t="str">
            <v>M4</v>
          </cell>
          <cell r="CJ10">
            <v>575523</v>
          </cell>
          <cell r="CK10">
            <v>884237</v>
          </cell>
          <cell r="CL10">
            <v>60000</v>
          </cell>
          <cell r="CM10">
            <v>299400</v>
          </cell>
          <cell r="CN10">
            <v>678000</v>
          </cell>
          <cell r="CO10">
            <v>51000</v>
          </cell>
          <cell r="CP10">
            <v>45000</v>
          </cell>
          <cell r="CQ10">
            <v>20826</v>
          </cell>
          <cell r="CR10">
            <v>0</v>
          </cell>
          <cell r="CS10">
            <v>8280460</v>
          </cell>
          <cell r="CT10">
            <v>10894446</v>
          </cell>
          <cell r="CU10">
            <v>-184800</v>
          </cell>
          <cell r="CV10">
            <v>-209250</v>
          </cell>
          <cell r="CX10">
            <v>-78000</v>
          </cell>
          <cell r="CY10">
            <v>0</v>
          </cell>
          <cell r="CZ10">
            <v>0</v>
          </cell>
          <cell r="DA10">
            <v>-99000</v>
          </cell>
          <cell r="DB10">
            <v>-571050</v>
          </cell>
          <cell r="DC10">
            <v>-750000</v>
          </cell>
          <cell r="DD10">
            <v>0</v>
          </cell>
          <cell r="DE10">
            <v>-139035</v>
          </cell>
          <cell r="DF10">
            <v>0</v>
          </cell>
          <cell r="DG10">
            <v>0</v>
          </cell>
          <cell r="DH10">
            <v>-144000</v>
          </cell>
          <cell r="DI10">
            <v>-283035</v>
          </cell>
          <cell r="DJ10">
            <v>9785825</v>
          </cell>
          <cell r="DK10">
            <v>6.2229466718567537</v>
          </cell>
          <cell r="DL10">
            <v>9.5609727087928729</v>
          </cell>
          <cell r="DM10">
            <v>0.32243756418380054</v>
          </cell>
          <cell r="DN10" t="e">
            <v>#DIV/0!</v>
          </cell>
          <cell r="DO10">
            <v>0.37985044649235006</v>
          </cell>
          <cell r="DP10">
            <v>0.49539501365052524</v>
          </cell>
          <cell r="DQ10">
            <v>0.65086961979650249</v>
          </cell>
          <cell r="DR10">
            <v>0.11328845549557651</v>
          </cell>
          <cell r="DS10">
            <v>117.79817049435579</v>
          </cell>
          <cell r="DT10">
            <v>105.81100514683621</v>
          </cell>
          <cell r="DU10">
            <v>2613986</v>
          </cell>
          <cell r="DV10">
            <v>0.23993748741331133</v>
          </cell>
          <cell r="DW10">
            <v>575523</v>
          </cell>
          <cell r="DX10">
            <v>680237</v>
          </cell>
          <cell r="DY10">
            <v>57600</v>
          </cell>
          <cell r="DZ10">
            <v>281400</v>
          </cell>
          <cell r="EA10">
            <v>0</v>
          </cell>
          <cell r="EB10">
            <v>45000</v>
          </cell>
          <cell r="EC10">
            <v>0</v>
          </cell>
          <cell r="EF10">
            <v>8280460</v>
          </cell>
          <cell r="EG10">
            <v>9920220</v>
          </cell>
          <cell r="EK10">
            <v>9920220</v>
          </cell>
          <cell r="EL10">
            <v>6.2229466718567537</v>
          </cell>
          <cell r="EP10">
            <v>0.84606247528434941</v>
          </cell>
          <cell r="EQ10">
            <v>0</v>
          </cell>
          <cell r="ER10">
            <v>107.26417542493837</v>
          </cell>
          <cell r="ES10">
            <v>107.26417542493837</v>
          </cell>
          <cell r="ET10">
            <v>1639760</v>
          </cell>
          <cell r="EU10">
            <v>0.16529472128642309</v>
          </cell>
          <cell r="EV10">
            <v>0</v>
          </cell>
          <cell r="EW10">
            <v>204000</v>
          </cell>
          <cell r="EX10">
            <v>2400</v>
          </cell>
          <cell r="EY10">
            <v>18000</v>
          </cell>
          <cell r="EZ10">
            <v>678000</v>
          </cell>
          <cell r="FA10">
            <v>6000</v>
          </cell>
          <cell r="FB10">
            <v>45000</v>
          </cell>
          <cell r="FC10">
            <v>20826</v>
          </cell>
          <cell r="FD10">
            <v>0</v>
          </cell>
          <cell r="FE10">
            <v>0</v>
          </cell>
          <cell r="FF10">
            <v>974226</v>
          </cell>
          <cell r="FG10">
            <v>-571050</v>
          </cell>
          <cell r="FH10">
            <v>-750000</v>
          </cell>
          <cell r="FI10">
            <v>-283035</v>
          </cell>
          <cell r="FJ10">
            <v>-134395</v>
          </cell>
          <cell r="FK10" t="str">
            <v>Upstate</v>
          </cell>
          <cell r="FL10" t="str">
            <v>National Grid</v>
          </cell>
          <cell r="FM10" t="str">
            <v>N/A</v>
          </cell>
          <cell r="FN10">
            <v>8.942409737952714E-2</v>
          </cell>
          <cell r="FO10">
            <v>-1.3733640239836703E-2</v>
          </cell>
        </row>
        <row r="11">
          <cell r="C11" t="str">
            <v>Linden Grove</v>
          </cell>
          <cell r="D11">
            <v>188073</v>
          </cell>
          <cell r="E11" t="str">
            <v>Blue Sea Development Company, LLC</v>
          </cell>
          <cell r="G11" t="str">
            <v>jacob.bluestone@blueseadev.com</v>
          </cell>
          <cell r="H11" t="str">
            <v>YES</v>
          </cell>
          <cell r="I11" t="str">
            <v>Milestone 2</v>
          </cell>
          <cell r="J11" t="str">
            <v>Early Design</v>
          </cell>
          <cell r="K11">
            <v>99705057.298765123</v>
          </cell>
          <cell r="L11">
            <v>997.05057298765121</v>
          </cell>
          <cell r="M11" t="str">
            <v>Modular construction uses prefabrication and preassembly off-site to reduce wasted time, materials, energy, labor, and most importantly cost. By improving construction efficiency, compressing the construction schedule, and reducing costs, the development team will be able to improve their overall productivity and produce more advanced clean energy developments</v>
          </cell>
          <cell r="N11">
            <v>32082969.298765123</v>
          </cell>
          <cell r="O11">
            <v>337.82969298765124</v>
          </cell>
          <cell r="P11">
            <v>0.33882904452413903</v>
          </cell>
          <cell r="Q11">
            <v>1800000</v>
          </cell>
          <cell r="R11">
            <v>1.8053246733576608E-2</v>
          </cell>
          <cell r="S11">
            <v>30282969.298765123</v>
          </cell>
          <cell r="T11">
            <v>325.70981259803051</v>
          </cell>
          <cell r="U11">
            <v>0.32667331168773572</v>
          </cell>
          <cell r="V11">
            <v>0</v>
          </cell>
          <cell r="Y11">
            <v>1000000</v>
          </cell>
          <cell r="Z11">
            <v>300000</v>
          </cell>
          <cell r="AG11" t="str">
            <v>VRF - ASHP</v>
          </cell>
          <cell r="AH11" t="str">
            <v>ERV</v>
          </cell>
          <cell r="AI11" t="str">
            <v>Modular</v>
          </cell>
          <cell r="AJ11" t="str">
            <v>EIFS (External Insulation and Finish System) 
Triple pane windows</v>
          </cell>
          <cell r="AK11" t="str">
            <v>CHP</v>
          </cell>
          <cell r="AL11" t="str">
            <v>-</v>
          </cell>
          <cell r="AM11" t="str">
            <v>-</v>
          </cell>
          <cell r="AO11">
            <v>100000</v>
          </cell>
          <cell r="AP11">
            <v>99002</v>
          </cell>
          <cell r="AQ11">
            <v>1</v>
          </cell>
          <cell r="AR11">
            <v>13</v>
          </cell>
          <cell r="AS11">
            <v>153</v>
          </cell>
          <cell r="AT11" t="str">
            <v>Phius</v>
          </cell>
          <cell r="AU11" t="str">
            <v>NYC</v>
          </cell>
          <cell r="AV11" t="str">
            <v>All Electric</v>
          </cell>
          <cell r="AW11" t="str">
            <v>LMI</v>
          </cell>
          <cell r="AX11" t="str">
            <v>Yes</v>
          </cell>
          <cell r="AY11" t="str">
            <v>Modular</v>
          </cell>
          <cell r="AZ11" t="str">
            <v>Minisplit - ASHP</v>
          </cell>
          <cell r="BA11" t="str">
            <v>ERV</v>
          </cell>
          <cell r="BB11" t="str">
            <v>Fossil Fuel</v>
          </cell>
          <cell r="BC11" t="str">
            <v>Yes</v>
          </cell>
          <cell r="BD11" t="str">
            <v>Mid Rise</v>
          </cell>
          <cell r="BE11" t="str">
            <v>PV</v>
          </cell>
          <cell r="BF11" t="str">
            <v>No</v>
          </cell>
          <cell r="BG11" t="str">
            <v>No</v>
          </cell>
          <cell r="BH11" t="str">
            <v>No</v>
          </cell>
          <cell r="BI11" t="str">
            <v>?</v>
          </cell>
          <cell r="BJ11">
            <v>4</v>
          </cell>
          <cell r="BK11" t="str">
            <v>Yes</v>
          </cell>
          <cell r="BL11" t="str">
            <v>NC</v>
          </cell>
          <cell r="BM11" t="str">
            <v xml:space="preserve">2016 ECCC of NYS	
	</v>
          </cell>
          <cell r="BN11" t="str">
            <v>Requires Grid Power</v>
          </cell>
          <cell r="BP11">
            <v>647.07189542483661</v>
          </cell>
          <cell r="BQ11" t="str">
            <v>Yes</v>
          </cell>
          <cell r="BR11" t="str">
            <v>No</v>
          </cell>
          <cell r="BS11" t="str">
            <v>No</v>
          </cell>
          <cell r="BT11" t="str">
            <v>PHIUS+ 2021</v>
          </cell>
          <cell r="BZ11" t="e">
            <v>#DIV/0!</v>
          </cell>
          <cell r="CF11">
            <v>0</v>
          </cell>
          <cell r="CG11">
            <v>0</v>
          </cell>
          <cell r="CH11" t="str">
            <v>M2</v>
          </cell>
          <cell r="CJ11">
            <v>5074592.0401127683</v>
          </cell>
          <cell r="CK11">
            <v>6779865.4409556938</v>
          </cell>
          <cell r="CL11">
            <v>3559889.2908018893</v>
          </cell>
          <cell r="CM11">
            <v>572717.54664717428</v>
          </cell>
          <cell r="CN11">
            <v>232500</v>
          </cell>
          <cell r="CO11">
            <v>400000</v>
          </cell>
          <cell r="CP11">
            <v>0</v>
          </cell>
          <cell r="CQ11">
            <v>189900</v>
          </cell>
          <cell r="CR11">
            <v>0</v>
          </cell>
          <cell r="CS11">
            <v>82895592.980247587</v>
          </cell>
          <cell r="CT11">
            <v>99705057.298765123</v>
          </cell>
          <cell r="CU11">
            <v>-600000</v>
          </cell>
          <cell r="CV11">
            <v>-100000</v>
          </cell>
          <cell r="CW11">
            <v>0</v>
          </cell>
          <cell r="CX11">
            <v>0</v>
          </cell>
          <cell r="CY11">
            <v>0</v>
          </cell>
          <cell r="CZ11">
            <v>0</v>
          </cell>
          <cell r="DA11">
            <v>0</v>
          </cell>
          <cell r="DB11">
            <v>-700000</v>
          </cell>
          <cell r="DC11">
            <v>-1000000</v>
          </cell>
          <cell r="DD11">
            <v>0</v>
          </cell>
          <cell r="DE11">
            <v>-100000</v>
          </cell>
          <cell r="DF11">
            <v>0</v>
          </cell>
          <cell r="DG11">
            <v>0</v>
          </cell>
          <cell r="DH11">
            <v>0</v>
          </cell>
          <cell r="DI11">
            <v>-100000</v>
          </cell>
          <cell r="DJ11">
            <v>97905057.298765123</v>
          </cell>
          <cell r="DK11">
            <v>50.745920401127684</v>
          </cell>
          <cell r="DL11">
            <v>67.798654409556931</v>
          </cell>
          <cell r="DM11" t="e">
            <v>#DIV/0!</v>
          </cell>
          <cell r="DO11" t="e">
            <v>#DIV/0!</v>
          </cell>
          <cell r="DP11" t="e">
            <v>#DIV/0!</v>
          </cell>
          <cell r="DQ11">
            <v>0.74847975735008843</v>
          </cell>
          <cell r="DR11">
            <v>1.8385158536878804E-2</v>
          </cell>
          <cell r="DS11">
            <v>997.05057298765121</v>
          </cell>
          <cell r="DT11">
            <v>979.05057298765121</v>
          </cell>
          <cell r="DU11">
            <v>16809464.318517528</v>
          </cell>
          <cell r="DV11">
            <v>0.16859189266747174</v>
          </cell>
          <cell r="DW11">
            <v>2316833</v>
          </cell>
          <cell r="DX11">
            <v>4095385</v>
          </cell>
          <cell r="DY11">
            <v>1625287</v>
          </cell>
          <cell r="DZ11">
            <v>375000</v>
          </cell>
          <cell r="EA11">
            <v>125000</v>
          </cell>
          <cell r="EB11">
            <v>180000</v>
          </cell>
          <cell r="EC11">
            <v>0</v>
          </cell>
          <cell r="ED11">
            <v>150000</v>
          </cell>
          <cell r="EE11">
            <v>19705251</v>
          </cell>
          <cell r="EF11">
            <v>39049332</v>
          </cell>
          <cell r="EG11">
            <v>67622088</v>
          </cell>
          <cell r="EH11">
            <v>-600000</v>
          </cell>
          <cell r="EI11">
            <v>-1000000</v>
          </cell>
          <cell r="EJ11">
            <v>-100000</v>
          </cell>
          <cell r="EK11">
            <v>65922088</v>
          </cell>
          <cell r="EL11">
            <v>23.168330000000001</v>
          </cell>
          <cell r="EP11">
            <v>0.56571799720905358</v>
          </cell>
          <cell r="EQ11">
            <v>2.5788018122241515E-2</v>
          </cell>
          <cell r="ER11">
            <v>676.22087999999997</v>
          </cell>
          <cell r="ES11">
            <v>659.22087999999997</v>
          </cell>
          <cell r="ET11">
            <v>28572756</v>
          </cell>
          <cell r="EU11">
            <v>0.42253584361370206</v>
          </cell>
          <cell r="EV11">
            <v>2757759.0401127683</v>
          </cell>
          <cell r="EW11">
            <v>2684480.4409556938</v>
          </cell>
          <cell r="EX11">
            <v>1934602.2908018893</v>
          </cell>
          <cell r="EY11">
            <v>197717.54664717428</v>
          </cell>
          <cell r="EZ11">
            <v>107500</v>
          </cell>
          <cell r="FA11">
            <v>220000</v>
          </cell>
          <cell r="FB11">
            <v>0</v>
          </cell>
          <cell r="FC11">
            <v>39900</v>
          </cell>
          <cell r="FD11">
            <v>-19705251</v>
          </cell>
          <cell r="FE11">
            <v>43846260.980247587</v>
          </cell>
          <cell r="FF11">
            <v>32082969.298765123</v>
          </cell>
          <cell r="FG11">
            <v>-100000</v>
          </cell>
          <cell r="FH11">
            <v>0</v>
          </cell>
          <cell r="FI11">
            <v>0</v>
          </cell>
          <cell r="FJ11">
            <v>31982969.298765123</v>
          </cell>
          <cell r="FK11" t="str">
            <v>Downstate</v>
          </cell>
          <cell r="FL11" t="str">
            <v>ConEd</v>
          </cell>
          <cell r="FM11" t="str">
            <v>National Grid</v>
          </cell>
          <cell r="FN11">
            <v>0.33882904452413903</v>
          </cell>
          <cell r="FO11">
            <v>0.32667331168773572</v>
          </cell>
        </row>
        <row r="12">
          <cell r="C12" t="str">
            <v xml:space="preserve">2050 Grand Concourse </v>
          </cell>
          <cell r="D12">
            <v>188331</v>
          </cell>
          <cell r="E12" t="str">
            <v>Unique People Services, Inc.</v>
          </cell>
          <cell r="G12" t="str">
            <v>ronaldt@uniquepeopleservices.org</v>
          </cell>
          <cell r="H12" t="str">
            <v>YES</v>
          </cell>
          <cell r="I12" t="str">
            <v>Milestone 3</v>
          </cell>
          <cell r="J12" t="str">
            <v>Under Construction</v>
          </cell>
          <cell r="K12">
            <v>53843024.256789021</v>
          </cell>
          <cell r="L12">
            <v>624.80301077781542</v>
          </cell>
          <cell r="M12" t="str">
            <v>The cost of including energy efficiency features at 2050 Grand Concourse is estimated to be
about $1,100,000 (3%) and the cost of the solar array is about $225,000 (net of incentives), for
a total cost of $1,325,000. As noted above, savings generated by these features allowed UPS to
cover about $400,000 of this cost. The cost of running the electric heat-pump portion of the
HVAC will be covered by the owner during both heating and cooling seasons. Because of this,
residents will benefit by not having to pay the cost of running the heat-pumps for air
conditioning, a savings of $100 to $200 per year.</v>
          </cell>
          <cell r="N12">
            <v>1060372.0998999998</v>
          </cell>
          <cell r="O12">
            <v>13.584154519819901</v>
          </cell>
          <cell r="P12">
            <v>2.1741499777520323E-2</v>
          </cell>
          <cell r="Q12">
            <v>938723</v>
          </cell>
          <cell r="R12">
            <v>1.7434440449017631E-2</v>
          </cell>
          <cell r="S12">
            <v>121649.0998999998</v>
          </cell>
          <cell r="T12">
            <v>2.7388133136652297</v>
          </cell>
          <cell r="U12">
            <v>4.3834829000834828E-3</v>
          </cell>
          <cell r="V12">
            <v>0</v>
          </cell>
          <cell r="Y12">
            <v>750000</v>
          </cell>
          <cell r="Z12">
            <v>77600</v>
          </cell>
          <cell r="AA12">
            <v>49320</v>
          </cell>
          <cell r="AG12" t="str">
            <v>VRF - ASHP</v>
          </cell>
          <cell r="AH12" t="str">
            <v>ERV</v>
          </cell>
          <cell r="AI12" t="str">
            <v>On Site</v>
          </cell>
          <cell r="AJ12" t="str">
            <v xml:space="preserve">R-16 Stone wool rigid Insulation with continuous air/water vapor boundary protection applied behind both brick and rainscreen metal panel cladding
 Roof  6” R-30 average XPS Rigid Insulation. 
Window U-factor of 0.28 and an SHGC of 0.30 </v>
          </cell>
          <cell r="AK12" t="str">
            <v>Ultra-high efficient condensing
storage water tank</v>
          </cell>
          <cell r="AL12" t="str">
            <v>-</v>
          </cell>
          <cell r="AM12" t="str">
            <v>-</v>
          </cell>
          <cell r="AN12" t="str">
            <v>Smart buildings/monitoring focused</v>
          </cell>
          <cell r="AO12">
            <v>86176</v>
          </cell>
          <cell r="AP12">
            <v>75523</v>
          </cell>
          <cell r="AQ12">
            <v>1</v>
          </cell>
          <cell r="AR12">
            <v>13</v>
          </cell>
          <cell r="AS12">
            <v>96</v>
          </cell>
          <cell r="AT12" t="str">
            <v>ASHRAE</v>
          </cell>
          <cell r="AU12" t="str">
            <v>NYC</v>
          </cell>
          <cell r="AV12" t="str">
            <v>Fossil Fuels</v>
          </cell>
          <cell r="AW12" t="str">
            <v>LMI</v>
          </cell>
          <cell r="AX12" t="str">
            <v>Yes</v>
          </cell>
          <cell r="AY12" t="str">
            <v>Block and Plank</v>
          </cell>
          <cell r="AZ12" t="str">
            <v>VRF - ASHP</v>
          </cell>
          <cell r="BA12" t="str">
            <v>ERV</v>
          </cell>
          <cell r="BB12" t="str">
            <v>Fossil Fuel</v>
          </cell>
          <cell r="BC12" t="str">
            <v>Yes</v>
          </cell>
          <cell r="BD12" t="str">
            <v>Mid Rise</v>
          </cell>
          <cell r="BE12" t="str">
            <v>No use of PV</v>
          </cell>
          <cell r="BF12" t="str">
            <v>No</v>
          </cell>
          <cell r="BG12" t="str">
            <v>No</v>
          </cell>
          <cell r="BH12" t="str">
            <v>No</v>
          </cell>
          <cell r="BI12" t="str">
            <v>No</v>
          </cell>
          <cell r="BJ12">
            <v>4</v>
          </cell>
          <cell r="BK12" t="str">
            <v>Yes</v>
          </cell>
          <cell r="BL12" t="str">
            <v>NC</v>
          </cell>
          <cell r="BM12" t="str">
            <v>2016 ECCC of NYS</v>
          </cell>
          <cell r="BN12" t="str">
            <v>Requires Grid Power</v>
          </cell>
          <cell r="BP12">
            <v>786.69791666666663</v>
          </cell>
          <cell r="BQ12" t="str">
            <v>Yes</v>
          </cell>
          <cell r="BR12" t="str">
            <v>?</v>
          </cell>
          <cell r="BS12" t="str">
            <v>Yes</v>
          </cell>
          <cell r="BT12" t="str">
            <v>-</v>
          </cell>
          <cell r="BW12">
            <v>7481470</v>
          </cell>
          <cell r="BX12">
            <v>5458349</v>
          </cell>
          <cell r="BY12">
            <v>5458349</v>
          </cell>
          <cell r="BZ12">
            <v>0</v>
          </cell>
          <cell r="CA12">
            <v>106607.67999999999</v>
          </cell>
          <cell r="CB12">
            <v>83675</v>
          </cell>
          <cell r="CF12">
            <v>1.107940627358553</v>
          </cell>
          <cell r="CG12">
            <v>63.33954929446714</v>
          </cell>
          <cell r="CH12" t="str">
            <v>M3</v>
          </cell>
          <cell r="CJ12">
            <v>1592848.1643980001</v>
          </cell>
          <cell r="CK12">
            <v>4967658.2130019991</v>
          </cell>
          <cell r="CL12">
            <v>1059435.67</v>
          </cell>
          <cell r="CM12">
            <v>183414</v>
          </cell>
          <cell r="CN12">
            <v>254596.04</v>
          </cell>
          <cell r="CO12">
            <v>807248.03250000044</v>
          </cell>
          <cell r="CP12">
            <v>325541.73</v>
          </cell>
          <cell r="CQ12">
            <v>689125</v>
          </cell>
          <cell r="CR12">
            <v>502235.25</v>
          </cell>
          <cell r="CS12">
            <v>43460922.156889021</v>
          </cell>
          <cell r="CT12">
            <v>53843024.256789021</v>
          </cell>
          <cell r="CU12">
            <v>-77600</v>
          </cell>
          <cell r="CV12">
            <v>-50024</v>
          </cell>
          <cell r="CW12">
            <v>-108000</v>
          </cell>
          <cell r="CX12">
            <v>0</v>
          </cell>
          <cell r="CY12">
            <v>0</v>
          </cell>
          <cell r="CZ12">
            <v>0</v>
          </cell>
          <cell r="DA12">
            <v>0</v>
          </cell>
          <cell r="DB12">
            <v>-235624</v>
          </cell>
          <cell r="DC12">
            <v>-647500</v>
          </cell>
          <cell r="DD12">
            <v>0</v>
          </cell>
          <cell r="DE12">
            <v>-55599</v>
          </cell>
          <cell r="DF12">
            <v>0</v>
          </cell>
          <cell r="DG12">
            <v>0</v>
          </cell>
          <cell r="DH12">
            <v>0</v>
          </cell>
          <cell r="DI12">
            <v>-55599</v>
          </cell>
          <cell r="DJ12">
            <v>52904301.256789021</v>
          </cell>
          <cell r="DK12">
            <v>18.483663251926291</v>
          </cell>
          <cell r="DL12">
            <v>57.64549541638042</v>
          </cell>
          <cell r="DM12">
            <v>0.29181867344832663</v>
          </cell>
          <cell r="DN12">
            <v>19.036129840430238</v>
          </cell>
          <cell r="DO12" t="e">
            <v>#DIV/0!</v>
          </cell>
          <cell r="DP12">
            <v>0.910102709262819</v>
          </cell>
          <cell r="DQ12">
            <v>0.32064367073986522</v>
          </cell>
          <cell r="DR12">
            <v>1.7743793561200035E-2</v>
          </cell>
          <cell r="DS12">
            <v>624.80301077781542</v>
          </cell>
          <cell r="DT12">
            <v>613.90991989404267</v>
          </cell>
          <cell r="DU12">
            <v>10382102.0999</v>
          </cell>
          <cell r="DV12">
            <v>0.19282167454757948</v>
          </cell>
          <cell r="DW12">
            <v>1555370</v>
          </cell>
          <cell r="DX12">
            <v>4870290</v>
          </cell>
          <cell r="DY12">
            <v>1308245</v>
          </cell>
          <cell r="DZ12">
            <v>178195</v>
          </cell>
          <cell r="EA12">
            <v>0</v>
          </cell>
          <cell r="EB12">
            <v>387520</v>
          </cell>
          <cell r="EC12">
            <v>0</v>
          </cell>
          <cell r="ED12">
            <v>453360</v>
          </cell>
          <cell r="EE12">
            <v>568750</v>
          </cell>
          <cell r="EF12">
            <v>43460922.156889021</v>
          </cell>
          <cell r="EG12">
            <v>52782652.156889021</v>
          </cell>
          <cell r="EH12">
            <v>-110256</v>
          </cell>
          <cell r="EK12">
            <v>52672396.156889021</v>
          </cell>
          <cell r="EL12">
            <v>18.048760675826216</v>
          </cell>
          <cell r="EP12">
            <v>0.31935880614912049</v>
          </cell>
          <cell r="EQ12">
            <v>2.0932406354097414E-3</v>
          </cell>
          <cell r="ER12">
            <v>612.49828440504336</v>
          </cell>
          <cell r="ES12">
            <v>611.21885625799553</v>
          </cell>
          <cell r="ET12">
            <v>9321730</v>
          </cell>
          <cell r="EU12">
            <v>0.17660594189720644</v>
          </cell>
          <cell r="EV12">
            <v>37478.16439800011</v>
          </cell>
          <cell r="EW12">
            <v>97368.213001999073</v>
          </cell>
          <cell r="EX12">
            <v>-248809.33000000007</v>
          </cell>
          <cell r="EY12">
            <v>5219</v>
          </cell>
          <cell r="EZ12">
            <v>254596.04</v>
          </cell>
          <cell r="FA12">
            <v>419728.03250000044</v>
          </cell>
          <cell r="FB12">
            <v>325541.73</v>
          </cell>
          <cell r="FC12">
            <v>235765</v>
          </cell>
          <cell r="FD12">
            <v>-66514.75</v>
          </cell>
          <cell r="FE12">
            <v>0</v>
          </cell>
          <cell r="FF12">
            <v>1060372.0998999998</v>
          </cell>
          <cell r="FG12">
            <v>-125368</v>
          </cell>
          <cell r="FH12">
            <v>-647500</v>
          </cell>
          <cell r="FI12">
            <v>-55599</v>
          </cell>
          <cell r="FJ12">
            <v>231905.0998999998</v>
          </cell>
          <cell r="FK12" t="str">
            <v>Downstate</v>
          </cell>
          <cell r="FL12" t="str">
            <v>ConEd</v>
          </cell>
          <cell r="FM12" t="str">
            <v>National Grid</v>
          </cell>
          <cell r="FN12">
            <v>2.1741499777520323E-2</v>
          </cell>
          <cell r="FO12">
            <v>4.3834829000834828E-3</v>
          </cell>
        </row>
        <row r="13">
          <cell r="C13" t="str">
            <v>Creekview Apartments Phase II</v>
          </cell>
          <cell r="D13">
            <v>183468</v>
          </cell>
          <cell r="E13" t="str">
            <v>Baldwin Real Estate Development Corp.</v>
          </cell>
          <cell r="H13" t="str">
            <v>Sent</v>
          </cell>
          <cell r="I13" t="str">
            <v>Proposal</v>
          </cell>
          <cell r="J13" t="str">
            <v>Early Design</v>
          </cell>
          <cell r="K13">
            <v>16500000</v>
          </cell>
          <cell r="L13">
            <v>176.15407609856086</v>
          </cell>
          <cell r="M13" t="str">
            <v xml:space="preserve"> 10 – 15% higher, which aligns with other projects using GSHPs.</v>
          </cell>
          <cell r="N13">
            <v>2475000</v>
          </cell>
          <cell r="O13">
            <v>26.423111414784131</v>
          </cell>
          <cell r="P13">
            <v>0.15</v>
          </cell>
          <cell r="Q13">
            <v>1509600</v>
          </cell>
          <cell r="R13">
            <v>9.1490909090909095E-2</v>
          </cell>
          <cell r="S13">
            <v>965400</v>
          </cell>
          <cell r="T13">
            <v>10.306614852457617</v>
          </cell>
          <cell r="U13">
            <v>5.8509090909090906E-2</v>
          </cell>
          <cell r="V13">
            <v>192000</v>
          </cell>
          <cell r="Y13">
            <v>1000000</v>
          </cell>
          <cell r="Z13">
            <v>317600</v>
          </cell>
          <cell r="AG13" t="str">
            <v>VRF - GSHP</v>
          </cell>
          <cell r="AH13" t="str">
            <v>ERV</v>
          </cell>
          <cell r="AI13" t="str">
            <v>Panelized</v>
          </cell>
          <cell r="AJ13" t="str">
            <v xml:space="preserve"> 3”continuous  polyiso insulation
attached to conventional wood frame assembly  
Triple pane  windows </v>
          </cell>
          <cell r="AK13" t="str">
            <v>GSHP</v>
          </cell>
          <cell r="AL13">
            <v>3818721</v>
          </cell>
          <cell r="AM13" t="str">
            <v>Onsite Solar electric (PV) Owned</v>
          </cell>
          <cell r="AN13" t="str">
            <v>EV</v>
          </cell>
          <cell r="AO13">
            <v>93668</v>
          </cell>
          <cell r="AP13">
            <v>93668</v>
          </cell>
          <cell r="AQ13">
            <v>12</v>
          </cell>
          <cell r="AR13">
            <v>2</v>
          </cell>
          <cell r="AS13">
            <v>96</v>
          </cell>
          <cell r="AT13" t="str">
            <v>ERI</v>
          </cell>
          <cell r="AU13" t="str">
            <v>Finger Lakes</v>
          </cell>
          <cell r="AV13" t="str">
            <v>All Electric</v>
          </cell>
          <cell r="AW13" t="str">
            <v>LMI</v>
          </cell>
          <cell r="AX13" t="str">
            <v>Yes</v>
          </cell>
          <cell r="AY13" t="str">
            <v>Panelized</v>
          </cell>
          <cell r="AZ13" t="str">
            <v>VRF - GSHP</v>
          </cell>
          <cell r="BA13" t="str">
            <v>ERV</v>
          </cell>
          <cell r="BB13" t="str">
            <v>GSHP</v>
          </cell>
          <cell r="BC13" t="str">
            <v>Yes</v>
          </cell>
          <cell r="BD13" t="str">
            <v>Low Rise</v>
          </cell>
          <cell r="BE13" t="str">
            <v>PV</v>
          </cell>
          <cell r="BF13" t="str">
            <v>No</v>
          </cell>
          <cell r="BG13" t="str">
            <v>Yes</v>
          </cell>
          <cell r="BH13" t="str">
            <v>No</v>
          </cell>
          <cell r="BI13" t="str">
            <v>No</v>
          </cell>
          <cell r="BJ13">
            <v>5</v>
          </cell>
          <cell r="BK13" t="str">
            <v>Yes</v>
          </cell>
          <cell r="BL13" t="str">
            <v>NC</v>
          </cell>
          <cell r="BM13" t="str">
            <v>2016 ECCC of NYS</v>
          </cell>
          <cell r="BN13" t="str">
            <v>Net Zero Energy</v>
          </cell>
          <cell r="BP13">
            <v>975.70833333333337</v>
          </cell>
          <cell r="BQ13" t="str">
            <v>No</v>
          </cell>
          <cell r="BR13" t="str">
            <v>No</v>
          </cell>
          <cell r="BS13" t="str">
            <v>No</v>
          </cell>
          <cell r="BT13" t="str">
            <v>-</v>
          </cell>
          <cell r="BW13" t="str">
            <v>-</v>
          </cell>
          <cell r="BX13">
            <v>4580030</v>
          </cell>
          <cell r="BY13">
            <v>761309</v>
          </cell>
          <cell r="BZ13">
            <v>0.83377641631168353</v>
          </cell>
          <cell r="CA13" t="str">
            <v>-</v>
          </cell>
          <cell r="CB13">
            <v>33380</v>
          </cell>
          <cell r="CF13">
            <v>0.35636503394969465</v>
          </cell>
          <cell r="CG13">
            <v>8.1277383951829876</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t="e">
            <v>#DIV/0!</v>
          </cell>
          <cell r="DR13" t="e">
            <v>#DIV/0!</v>
          </cell>
          <cell r="DS13">
            <v>0</v>
          </cell>
          <cell r="DT13">
            <v>0</v>
          </cell>
          <cell r="DU13">
            <v>0</v>
          </cell>
          <cell r="DV13" t="e">
            <v>#DIV/0!</v>
          </cell>
          <cell r="EL13">
            <v>0</v>
          </cell>
          <cell r="EP13" t="e">
            <v>#DIV/0!</v>
          </cell>
          <cell r="EQ13" t="e">
            <v>#DIV/0!</v>
          </cell>
          <cell r="ER13">
            <v>0</v>
          </cell>
          <cell r="ES13">
            <v>0</v>
          </cell>
          <cell r="ET13">
            <v>0</v>
          </cell>
          <cell r="EU13" t="e">
            <v>#DIV/0!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t="str">
            <v>Upstate</v>
          </cell>
          <cell r="FL13" t="str">
            <v>RG&amp;E</v>
          </cell>
          <cell r="FM13" t="str">
            <v>NYSEG</v>
          </cell>
          <cell r="FN13" t="e">
            <v>#DIV/0!</v>
          </cell>
          <cell r="FO13" t="e">
            <v>#DIV/0!</v>
          </cell>
        </row>
        <row r="14">
          <cell r="C14" t="str">
            <v>The Seventy-Six Phase 1</v>
          </cell>
          <cell r="D14">
            <v>188094</v>
          </cell>
          <cell r="E14" t="str">
            <v>SOUTH END DEVELOPMENT</v>
          </cell>
          <cell r="G14" t="str">
            <v>Carmel Pratt &lt;cpratt@levypartnership.com&gt;</v>
          </cell>
          <cell r="H14" t="str">
            <v>Sent</v>
          </cell>
          <cell r="I14" t="str">
            <v>Proposal</v>
          </cell>
          <cell r="J14" t="str">
            <v>Early Design</v>
          </cell>
          <cell r="K14">
            <v>65837961</v>
          </cell>
          <cell r="L14">
            <v>421.60849518759727</v>
          </cell>
          <cell r="M14" t="str">
            <v>The proposed project will require higher upfront construction and design costs
compared to low to moderate income, or market rate projects. The cost to invest in
energy-efficient solutions and technologies is compared to luxury projects with more
being spent on technology and materials that will actually effect comfort, quality and
health of the resident, rather then superficial materials like high priced counter tops
or flooring.
Heard back sooner from the design team on the percentage: 25% incremental cost over a typical code-constructed facility.</v>
          </cell>
          <cell r="N14">
            <v>16459490.25</v>
          </cell>
          <cell r="O14">
            <v>105.40212379689932</v>
          </cell>
          <cell r="P14">
            <v>0.25</v>
          </cell>
          <cell r="Q14">
            <v>961820</v>
          </cell>
          <cell r="R14">
            <v>1.4608897137625511E-2</v>
          </cell>
          <cell r="S14">
            <v>15497670.25</v>
          </cell>
          <cell r="T14">
            <v>99.24288865835463</v>
          </cell>
          <cell r="U14">
            <v>0.2353911028623745</v>
          </cell>
          <cell r="V14">
            <v>0</v>
          </cell>
          <cell r="Y14">
            <v>658020</v>
          </cell>
          <cell r="Z14">
            <v>303800</v>
          </cell>
          <cell r="AG14" t="str">
            <v>ASHP</v>
          </cell>
          <cell r="AH14" t="str">
            <v>ERV</v>
          </cell>
          <cell r="AI14" t="str">
            <v>Modular</v>
          </cell>
          <cell r="AJ14" t="str">
            <v>On hold pending updated project details</v>
          </cell>
          <cell r="AK14" t="str">
            <v>Solar Thermal</v>
          </cell>
          <cell r="AL14">
            <v>2131296</v>
          </cell>
          <cell r="AM14" t="str">
            <v>Onsite Solar electric (PV) Owned</v>
          </cell>
          <cell r="AO14">
            <v>156159</v>
          </cell>
          <cell r="AP14">
            <v>94499</v>
          </cell>
          <cell r="AQ14">
            <v>1</v>
          </cell>
          <cell r="AR14">
            <v>8</v>
          </cell>
          <cell r="AS14">
            <v>88</v>
          </cell>
          <cell r="AT14" t="str">
            <v>Phius</v>
          </cell>
          <cell r="AU14" t="str">
            <v>Capital Region</v>
          </cell>
          <cell r="AV14" t="str">
            <v>All Electric</v>
          </cell>
          <cell r="AW14" t="str">
            <v>LMI</v>
          </cell>
          <cell r="AX14" t="str">
            <v>Yes</v>
          </cell>
          <cell r="AY14" t="str">
            <v>Modular</v>
          </cell>
          <cell r="AZ14" t="str">
            <v>GSHP</v>
          </cell>
          <cell r="BA14" t="str">
            <v>ERV</v>
          </cell>
          <cell r="BB14" t="str">
            <v>Solar Thermal</v>
          </cell>
          <cell r="BC14" t="str">
            <v>Yes</v>
          </cell>
          <cell r="BD14" t="str">
            <v>Mid Rise</v>
          </cell>
          <cell r="BE14" t="str">
            <v>PV</v>
          </cell>
          <cell r="BF14" t="str">
            <v>Yes</v>
          </cell>
          <cell r="BG14" t="str">
            <v>No</v>
          </cell>
          <cell r="BH14" t="str">
            <v>No</v>
          </cell>
          <cell r="BI14" t="str">
            <v>GSHP</v>
          </cell>
          <cell r="BJ14">
            <v>5</v>
          </cell>
          <cell r="BK14" t="str">
            <v>No</v>
          </cell>
          <cell r="BL14" t="str">
            <v>NC</v>
          </cell>
          <cell r="BM14" t="str">
            <v>2019 ECCC of NYS 2020 (expected)</v>
          </cell>
          <cell r="BN14" t="str">
            <v>Net Zero Energy</v>
          </cell>
          <cell r="BP14">
            <v>1073.8522727272727</v>
          </cell>
          <cell r="BQ14" t="str">
            <v>Yes</v>
          </cell>
          <cell r="BR14" t="str">
            <v>?</v>
          </cell>
          <cell r="BS14" t="str">
            <v>Yes</v>
          </cell>
          <cell r="BT14" t="str">
            <v>PHIUS+ 2018</v>
          </cell>
          <cell r="BW14" t="str">
            <v>-</v>
          </cell>
          <cell r="BX14">
            <v>2437553</v>
          </cell>
          <cell r="BY14">
            <v>0</v>
          </cell>
          <cell r="BZ14">
            <v>1</v>
          </cell>
          <cell r="CA14" t="str">
            <v>-</v>
          </cell>
          <cell r="CB14">
            <v>0</v>
          </cell>
          <cell r="CF14">
            <v>0</v>
          </cell>
          <cell r="CG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t="e">
            <v>#DIV/0!</v>
          </cell>
          <cell r="DO14">
            <v>0</v>
          </cell>
          <cell r="DP14">
            <v>0</v>
          </cell>
          <cell r="DQ14" t="e">
            <v>#DIV/0!</v>
          </cell>
          <cell r="DR14" t="e">
            <v>#DIV/0!</v>
          </cell>
          <cell r="DS14">
            <v>0</v>
          </cell>
          <cell r="DT14">
            <v>0</v>
          </cell>
          <cell r="DU14">
            <v>0</v>
          </cell>
          <cell r="DV14" t="e">
            <v>#DIV/0!</v>
          </cell>
          <cell r="EL14">
            <v>0</v>
          </cell>
          <cell r="EP14" t="e">
            <v>#DIV/0!</v>
          </cell>
          <cell r="EQ14" t="e">
            <v>#DIV/0!</v>
          </cell>
          <cell r="ER14">
            <v>0</v>
          </cell>
          <cell r="ES14">
            <v>0</v>
          </cell>
          <cell r="ET14">
            <v>0</v>
          </cell>
          <cell r="EU14" t="e">
            <v>#DIV/0!</v>
          </cell>
          <cell r="EV14">
            <v>0</v>
          </cell>
          <cell r="EW14">
            <v>0</v>
          </cell>
          <cell r="EX14">
            <v>0</v>
          </cell>
          <cell r="EY14">
            <v>0</v>
          </cell>
          <cell r="EZ14">
            <v>0</v>
          </cell>
          <cell r="FA14">
            <v>0</v>
          </cell>
          <cell r="FB14">
            <v>0</v>
          </cell>
          <cell r="FC14">
            <v>0</v>
          </cell>
          <cell r="FD14">
            <v>0</v>
          </cell>
          <cell r="FE14">
            <v>0</v>
          </cell>
          <cell r="FF14">
            <v>0</v>
          </cell>
          <cell r="FG14">
            <v>0</v>
          </cell>
          <cell r="FH14">
            <v>0</v>
          </cell>
          <cell r="FI14">
            <v>0</v>
          </cell>
          <cell r="FJ14">
            <v>0</v>
          </cell>
          <cell r="FK14" t="str">
            <v>Upstate</v>
          </cell>
          <cell r="FL14" t="str">
            <v>National Grid</v>
          </cell>
          <cell r="FM14" t="str">
            <v>National Grid</v>
          </cell>
          <cell r="FN14" t="e">
            <v>#DIV/0!</v>
          </cell>
          <cell r="FO14" t="e">
            <v>#DIV/0!</v>
          </cell>
        </row>
        <row r="15">
          <cell r="C15" t="str">
            <v>Geneva Solar Village</v>
          </cell>
          <cell r="D15">
            <v>188186</v>
          </cell>
          <cell r="E15" t="str">
            <v>SmallGrid LLC</v>
          </cell>
          <cell r="F15" t="str">
            <v>sustainable Comfort</v>
          </cell>
          <cell r="H15" t="str">
            <v>YES</v>
          </cell>
          <cell r="I15" t="str">
            <v>Milestone 1</v>
          </cell>
          <cell r="J15" t="str">
            <v>Early Design</v>
          </cell>
          <cell r="K15">
            <v>14155205.931034483</v>
          </cell>
          <cell r="L15">
            <v>231.21109945827453</v>
          </cell>
          <cell r="M15" t="str">
            <v xml:space="preserve">$0 incremental cost overall -  associated with the project’s use of modular construction and a single-head non-ducted mini-split ASHP for heating/cooling/dehumidification.  </v>
          </cell>
          <cell r="N15">
            <v>0</v>
          </cell>
          <cell r="O15">
            <v>19.54531852985011</v>
          </cell>
          <cell r="P15">
            <v>8.453451661985352E-2</v>
          </cell>
          <cell r="Q15">
            <v>1846121</v>
          </cell>
          <cell r="R15">
            <v>0.13041993235523935</v>
          </cell>
          <cell r="S15">
            <v>-649517.50896551646</v>
          </cell>
          <cell r="T15">
            <v>-12.200391678725353</v>
          </cell>
          <cell r="U15">
            <v>-5.2767326946287434E-2</v>
          </cell>
          <cell r="V15">
            <v>144000</v>
          </cell>
          <cell r="Y15">
            <v>1000000</v>
          </cell>
          <cell r="Z15">
            <v>305800</v>
          </cell>
          <cell r="AG15" t="str">
            <v>ASHP air to water distribution system</v>
          </cell>
          <cell r="AH15" t="str">
            <v>ERV</v>
          </cell>
          <cell r="AI15" t="str">
            <v>Panelized</v>
          </cell>
          <cell r="AJ15" t="str">
            <v>SIPS Panels with Triple pane windows</v>
          </cell>
          <cell r="AK15" t="str">
            <v>ASHP Preheat with Solar Thermal</v>
          </cell>
          <cell r="AL15">
            <v>1547601</v>
          </cell>
          <cell r="AM15" t="str">
            <v>Onsite Solar electric (PV) Owned</v>
          </cell>
          <cell r="AN15" t="str">
            <v xml:space="preserve">HP clothes dryer 
Smart buildings monitoring &amp; controls
battery storage </v>
          </cell>
          <cell r="AO15">
            <v>61222</v>
          </cell>
          <cell r="AP15">
            <v>61222</v>
          </cell>
          <cell r="AQ15">
            <v>4</v>
          </cell>
          <cell r="AR15">
            <v>3</v>
          </cell>
          <cell r="AS15">
            <v>87</v>
          </cell>
          <cell r="AT15" t="str">
            <v>ERI</v>
          </cell>
          <cell r="AU15" t="str">
            <v>Central NY</v>
          </cell>
          <cell r="AV15" t="str">
            <v>All Electric</v>
          </cell>
          <cell r="AW15" t="str">
            <v>LMI</v>
          </cell>
          <cell r="AX15" t="str">
            <v>Yes</v>
          </cell>
          <cell r="AY15" t="str">
            <v>Panelized</v>
          </cell>
          <cell r="AZ15" t="str">
            <v>Minisplit - ASHP</v>
          </cell>
          <cell r="BA15" t="str">
            <v>ERV</v>
          </cell>
          <cell r="BB15" t="str">
            <v>ASHP</v>
          </cell>
          <cell r="BC15" t="str">
            <v>Yes</v>
          </cell>
          <cell r="BD15" t="str">
            <v>Low Rise</v>
          </cell>
          <cell r="BE15" t="str">
            <v>PV</v>
          </cell>
          <cell r="BF15" t="str">
            <v>Yes</v>
          </cell>
          <cell r="BG15" t="str">
            <v>No</v>
          </cell>
          <cell r="BH15" t="str">
            <v>No</v>
          </cell>
          <cell r="BI15" t="str">
            <v>No</v>
          </cell>
          <cell r="BJ15">
            <v>5</v>
          </cell>
          <cell r="BK15" t="str">
            <v>No</v>
          </cell>
          <cell r="BL15" t="str">
            <v>NC</v>
          </cell>
          <cell r="BM15" t="str">
            <v>2019 ECCC of NYS</v>
          </cell>
          <cell r="BN15" t="str">
            <v>Net Zero Energy</v>
          </cell>
          <cell r="BO15" t="str">
            <v>Yes</v>
          </cell>
          <cell r="BP15">
            <v>703.70114942528733</v>
          </cell>
          <cell r="BQ15" t="str">
            <v>No</v>
          </cell>
          <cell r="BR15" t="str">
            <v>No</v>
          </cell>
          <cell r="BS15" t="str">
            <v>No</v>
          </cell>
          <cell r="BT15" t="str">
            <v>-</v>
          </cell>
          <cell r="BW15" t="str">
            <v>-</v>
          </cell>
          <cell r="BX15">
            <v>1590641</v>
          </cell>
          <cell r="BY15">
            <v>43040</v>
          </cell>
          <cell r="BZ15">
            <v>0.97294172600857143</v>
          </cell>
          <cell r="CA15" t="str">
            <v>-</v>
          </cell>
          <cell r="CB15">
            <v>5748</v>
          </cell>
          <cell r="CF15">
            <v>9.3887818104602921E-2</v>
          </cell>
          <cell r="CG15">
            <v>0.70301525595374215</v>
          </cell>
          <cell r="CH15" t="str">
            <v>M1</v>
          </cell>
          <cell r="CI15" t="str">
            <v>Only displaying costs for Sunlight Lane</v>
          </cell>
          <cell r="CJ15">
            <v>520783</v>
          </cell>
          <cell r="CK15">
            <v>823994</v>
          </cell>
          <cell r="CL15">
            <v>73950</v>
          </cell>
          <cell r="CM15">
            <v>410325</v>
          </cell>
          <cell r="CN15">
            <v>571158</v>
          </cell>
          <cell r="CO15">
            <v>41511</v>
          </cell>
          <cell r="CP15">
            <v>0</v>
          </cell>
          <cell r="CQ15">
            <v>0</v>
          </cell>
          <cell r="CR15">
            <v>64637.931034482703</v>
          </cell>
          <cell r="CS15">
            <v>11648847</v>
          </cell>
          <cell r="CT15">
            <v>14155205.931034483</v>
          </cell>
          <cell r="CU15">
            <v>-300000</v>
          </cell>
          <cell r="CV15">
            <v>-459000</v>
          </cell>
          <cell r="CW15">
            <v>0</v>
          </cell>
          <cell r="CX15">
            <v>0</v>
          </cell>
          <cell r="CY15">
            <v>0</v>
          </cell>
          <cell r="CZ15">
            <v>-60000</v>
          </cell>
          <cell r="DA15">
            <v>-159000</v>
          </cell>
          <cell r="DB15">
            <v>-978000</v>
          </cell>
          <cell r="DC15">
            <v>-727236</v>
          </cell>
          <cell r="DD15">
            <v>0</v>
          </cell>
          <cell r="DE15">
            <v>0</v>
          </cell>
          <cell r="DF15">
            <v>0</v>
          </cell>
          <cell r="DG15">
            <v>0</v>
          </cell>
          <cell r="DH15">
            <v>-140885</v>
          </cell>
          <cell r="DI15">
            <v>-140885</v>
          </cell>
          <cell r="DJ15">
            <v>12309084.931034483</v>
          </cell>
          <cell r="DK15">
            <v>8.5064682630426969</v>
          </cell>
          <cell r="DL15">
            <v>13.459116004050831</v>
          </cell>
          <cell r="DM15">
            <v>0.32740448661891652</v>
          </cell>
          <cell r="DN15">
            <v>90.602470424495479</v>
          </cell>
          <cell r="DO15">
            <v>0.36906024227174833</v>
          </cell>
          <cell r="DP15">
            <v>0.51802638055978689</v>
          </cell>
          <cell r="DQ15">
            <v>0.63202280599130578</v>
          </cell>
          <cell r="DR15">
            <v>0.14998036087519689</v>
          </cell>
          <cell r="DS15">
            <v>231.21109945827453</v>
          </cell>
          <cell r="DT15">
            <v>201.05656350714585</v>
          </cell>
          <cell r="DU15">
            <v>2506358.9310344825</v>
          </cell>
          <cell r="DV15">
            <v>0.17706269645568584</v>
          </cell>
          <cell r="DW15">
            <v>244875</v>
          </cell>
          <cell r="DX15">
            <v>702436.94</v>
          </cell>
          <cell r="DY15">
            <v>15570</v>
          </cell>
          <cell r="DZ15">
            <v>305362.5</v>
          </cell>
          <cell r="EA15">
            <v>0</v>
          </cell>
          <cell r="EB15">
            <v>41511</v>
          </cell>
          <cell r="EC15">
            <v>0</v>
          </cell>
          <cell r="ED15">
            <v>0</v>
          </cell>
          <cell r="EE15">
            <v>0</v>
          </cell>
          <cell r="EF15">
            <v>11648847</v>
          </cell>
          <cell r="EG15">
            <v>12958602.439999999</v>
          </cell>
          <cell r="EH15">
            <v>0</v>
          </cell>
          <cell r="EI15">
            <v>0</v>
          </cell>
          <cell r="EJ15">
            <v>0</v>
          </cell>
          <cell r="EK15">
            <v>12958602.439999999</v>
          </cell>
          <cell r="EL15">
            <v>3.9997876580314267</v>
          </cell>
          <cell r="EP15">
            <v>0.34860780527857776</v>
          </cell>
          <cell r="EQ15">
            <v>0</v>
          </cell>
          <cell r="ER15">
            <v>211.66578092842443</v>
          </cell>
          <cell r="ES15">
            <v>211.66578092842443</v>
          </cell>
          <cell r="ET15">
            <v>1309755.44</v>
          </cell>
          <cell r="EU15">
            <v>0.10107227581557013</v>
          </cell>
          <cell r="EV15">
            <v>275908</v>
          </cell>
          <cell r="EW15">
            <v>121557.06000000006</v>
          </cell>
          <cell r="EX15">
            <v>58380</v>
          </cell>
          <cell r="EY15">
            <v>104962.5</v>
          </cell>
          <cell r="EZ15">
            <v>571158</v>
          </cell>
          <cell r="FA15">
            <v>0</v>
          </cell>
          <cell r="FB15">
            <v>0</v>
          </cell>
          <cell r="FC15">
            <v>0</v>
          </cell>
          <cell r="FD15">
            <v>64637.931034482703</v>
          </cell>
          <cell r="FE15">
            <v>0</v>
          </cell>
          <cell r="FF15">
            <v>1196603.4910344835</v>
          </cell>
          <cell r="FG15">
            <v>-978000</v>
          </cell>
          <cell r="FH15">
            <v>-727236</v>
          </cell>
          <cell r="FI15">
            <v>-140885</v>
          </cell>
          <cell r="FJ15">
            <v>-649517.50896551646</v>
          </cell>
          <cell r="FK15" t="str">
            <v>Upstate</v>
          </cell>
          <cell r="FL15" t="str">
            <v>NYSEG</v>
          </cell>
          <cell r="FM15" t="str">
            <v>N/a</v>
          </cell>
          <cell r="FN15">
            <v>8.453451661985352E-2</v>
          </cell>
          <cell r="FO15">
            <v>-5.2767326946287434E-2</v>
          </cell>
        </row>
        <row r="16">
          <cell r="C16" t="str">
            <v>Sendero Verde Building A</v>
          </cell>
          <cell r="D16">
            <v>187781</v>
          </cell>
          <cell r="E16" t="str">
            <v>Jonathan Rose Companies</v>
          </cell>
          <cell r="H16" t="str">
            <v>Sent</v>
          </cell>
          <cell r="I16" t="str">
            <v>Proposal</v>
          </cell>
          <cell r="J16" t="str">
            <v>Late Design</v>
          </cell>
          <cell r="K16">
            <v>233000000</v>
          </cell>
          <cell r="L16">
            <v>655.4978829950345</v>
          </cell>
          <cell r="M16" t="str">
            <v>Within each zone, a horizontal loop was located at both the upper and
lower floors of each respective zone, known as a “box design”, as opposed a more conventional and less
efficient, “3-pipe design”, which has both the supply and return loop on one floor which requires twice as much
vertical piping. This in conjunction with strategic clustering of water taps drastically limited the number of
recirculation risers required on the project. A study of this system design concluded that the project saved
approximately 10,000 linear feet of recirculation piping (a 40% reduction) by going with the “box design”. This
translates to significant hard and soft costs savings for expensive copper piping, reduced water heating costs,
and reduced cooling energy costs due to less heat loss from the hot water recirculation system.
Certain additional costs that come from Passive House construction that are not typical of traditional
affordable housing construction. In broad categories, these costs include triple glazed windows, a more robust
mechanical VRF system, centralized ERV’s, and additional insulation. The pre-construction team did a cost
analysis and found a 6-8% premium for Passive House design features over typical construction</v>
          </cell>
          <cell r="N16">
            <v>18640000</v>
          </cell>
          <cell r="O16">
            <v>52.439830639602761</v>
          </cell>
          <cell r="P16">
            <v>0.08</v>
          </cell>
          <cell r="Q16">
            <v>1050000</v>
          </cell>
          <cell r="R16">
            <v>4.5064377682403432E-3</v>
          </cell>
          <cell r="S16">
            <v>17590000</v>
          </cell>
          <cell r="T16">
            <v>49.485870222672347</v>
          </cell>
          <cell r="U16">
            <v>7.5493562231759653E-2</v>
          </cell>
          <cell r="V16">
            <v>0</v>
          </cell>
          <cell r="Y16">
            <v>750000</v>
          </cell>
          <cell r="Z16">
            <v>300000</v>
          </cell>
          <cell r="AG16" t="str">
            <v>VRF - ASHP</v>
          </cell>
          <cell r="AH16" t="str">
            <v>ERV</v>
          </cell>
          <cell r="AI16" t="str">
            <v>On Site</v>
          </cell>
          <cell r="AJ16" t="str">
            <v>Cast in place concrete with light gauge steel stud back up - 3" continuous mineral wool  with 6" cavity insulation, R-value 24.5
Triple pane windows</v>
          </cell>
          <cell r="AK16" t="str">
            <v>Central condensing Boiler with 4 zone recirculation</v>
          </cell>
          <cell r="AL16">
            <v>623033</v>
          </cell>
          <cell r="AM16" t="str">
            <v>Onsite Solar electric (PV) Owned</v>
          </cell>
          <cell r="AO16">
            <v>355455</v>
          </cell>
          <cell r="AP16">
            <v>325332</v>
          </cell>
          <cell r="AQ16">
            <v>1</v>
          </cell>
          <cell r="AR16">
            <v>34</v>
          </cell>
          <cell r="AS16">
            <v>348</v>
          </cell>
          <cell r="AT16" t="str">
            <v>PHI</v>
          </cell>
          <cell r="AU16" t="str">
            <v>NYC</v>
          </cell>
          <cell r="AV16" t="str">
            <v>Fossil Fuels</v>
          </cell>
          <cell r="AW16" t="str">
            <v>LMI</v>
          </cell>
          <cell r="AX16" t="str">
            <v>Yes</v>
          </cell>
          <cell r="AY16" t="str">
            <v>Block and Plank</v>
          </cell>
          <cell r="AZ16" t="str">
            <v>VRF - ASHP</v>
          </cell>
          <cell r="BA16" t="str">
            <v>ERV</v>
          </cell>
          <cell r="BB16" t="str">
            <v>Fossil Fuel</v>
          </cell>
          <cell r="BC16" t="str">
            <v>Yes</v>
          </cell>
          <cell r="BD16" t="str">
            <v>High Rise</v>
          </cell>
          <cell r="BE16" t="str">
            <v>PV</v>
          </cell>
          <cell r="BF16" t="str">
            <v>No</v>
          </cell>
          <cell r="BG16" t="str">
            <v>No</v>
          </cell>
          <cell r="BH16" t="str">
            <v>No</v>
          </cell>
          <cell r="BI16" t="str">
            <v>No</v>
          </cell>
          <cell r="BJ16">
            <v>4</v>
          </cell>
          <cell r="BK16" t="str">
            <v>Yes</v>
          </cell>
          <cell r="BL16" t="str">
            <v>NC</v>
          </cell>
          <cell r="BM16" t="str">
            <v>2016 ECCC of NYS</v>
          </cell>
          <cell r="BN16" t="str">
            <v>Requires Grid Power</v>
          </cell>
          <cell r="BP16">
            <v>934.86206896551721</v>
          </cell>
          <cell r="BQ16" t="str">
            <v>Yes</v>
          </cell>
          <cell r="BR16" t="str">
            <v>?</v>
          </cell>
          <cell r="BS16" t="str">
            <v>Yes</v>
          </cell>
          <cell r="BT16" t="str">
            <v>-</v>
          </cell>
          <cell r="BW16" t="str">
            <v>-</v>
          </cell>
          <cell r="BX16">
            <v>10977322</v>
          </cell>
          <cell r="BY16">
            <v>10354289</v>
          </cell>
          <cell r="BZ16">
            <v>5.675637464219415E-2</v>
          </cell>
          <cell r="CA16" t="str">
            <v>-</v>
          </cell>
          <cell r="CB16">
            <v>180352.11</v>
          </cell>
          <cell r="CF16">
            <v>0.55436326583305662</v>
          </cell>
          <cell r="CG16">
            <v>29.12967604900761</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t="e">
            <v>#DIV/0!</v>
          </cell>
          <cell r="DR16" t="e">
            <v>#DIV/0!</v>
          </cell>
          <cell r="DS16">
            <v>0</v>
          </cell>
          <cell r="DT16">
            <v>0</v>
          </cell>
          <cell r="DU16">
            <v>0</v>
          </cell>
          <cell r="DV16" t="e">
            <v>#DIV/0!</v>
          </cell>
          <cell r="EL16">
            <v>0</v>
          </cell>
          <cell r="EP16" t="e">
            <v>#DIV/0!</v>
          </cell>
          <cell r="EQ16" t="e">
            <v>#DIV/0!</v>
          </cell>
          <cell r="ER16">
            <v>0</v>
          </cell>
          <cell r="ES16">
            <v>0</v>
          </cell>
          <cell r="ET16">
            <v>0</v>
          </cell>
          <cell r="EU16" t="e">
            <v>#DIV/0!</v>
          </cell>
          <cell r="EV16">
            <v>0</v>
          </cell>
          <cell r="EW16">
            <v>0</v>
          </cell>
          <cell r="EX16">
            <v>0</v>
          </cell>
          <cell r="EY16">
            <v>0</v>
          </cell>
          <cell r="EZ16">
            <v>0</v>
          </cell>
          <cell r="FA16">
            <v>0</v>
          </cell>
          <cell r="FB16">
            <v>0</v>
          </cell>
          <cell r="FC16">
            <v>0</v>
          </cell>
          <cell r="FD16">
            <v>0</v>
          </cell>
          <cell r="FE16">
            <v>0</v>
          </cell>
          <cell r="FF16">
            <v>0</v>
          </cell>
          <cell r="FG16">
            <v>0</v>
          </cell>
          <cell r="FH16">
            <v>0</v>
          </cell>
          <cell r="FI16">
            <v>0</v>
          </cell>
          <cell r="FJ16">
            <v>0</v>
          </cell>
          <cell r="FK16" t="str">
            <v>Downstate</v>
          </cell>
          <cell r="FL16" t="str">
            <v>ConEd</v>
          </cell>
          <cell r="FM16" t="str">
            <v>ConEd</v>
          </cell>
          <cell r="FN16" t="e">
            <v>#DIV/0!</v>
          </cell>
          <cell r="FO16" t="e">
            <v>#DIV/0!</v>
          </cell>
        </row>
        <row r="17">
          <cell r="C17" t="str">
            <v>425 Grand Concourse</v>
          </cell>
          <cell r="D17">
            <v>188226</v>
          </cell>
          <cell r="E17" t="str">
            <v>Trinity Financial, Inc.</v>
          </cell>
          <cell r="F17" t="str">
            <v>Steven Winter Associates, Inc.</v>
          </cell>
          <cell r="G17" t="str">
            <v>cstump@trinityfinancial.com</v>
          </cell>
          <cell r="H17" t="str">
            <v>YES</v>
          </cell>
          <cell r="I17" t="str">
            <v>Milestone 3</v>
          </cell>
          <cell r="J17" t="str">
            <v>Under Construction</v>
          </cell>
          <cell r="K17">
            <v>122540000</v>
          </cell>
          <cell r="L17">
            <v>394.32613158792373</v>
          </cell>
          <cell r="M17" t="str">
            <v>$0 incremental cost associated with the project’s use of a VRF ASHPs for heating/cooling.  
Though construction costs of Passive Houses may currently still be higher than comparable non-Passive House buildings, underwriting to future energy cost savings to compensate for the higher construction costs is currently still very difficult, mainly out of lack of Passive House operational data. 
CALL WITH Christoph 3% is gut feel - but cannot back it up.</v>
          </cell>
          <cell r="N17">
            <v>2087448</v>
          </cell>
          <cell r="O17">
            <v>6.7172783966945344</v>
          </cell>
          <cell r="P17">
            <v>1.7034829443447037E-2</v>
          </cell>
          <cell r="Q17">
            <v>1050000</v>
          </cell>
          <cell r="R17">
            <v>8.5686306512159291E-3</v>
          </cell>
          <cell r="S17">
            <v>1037448</v>
          </cell>
          <cell r="T17">
            <v>3.3672965393335117</v>
          </cell>
          <cell r="U17">
            <v>8.5393694954317232E-3</v>
          </cell>
          <cell r="V17">
            <v>0</v>
          </cell>
          <cell r="Y17">
            <v>750000</v>
          </cell>
          <cell r="Z17">
            <v>213900</v>
          </cell>
          <cell r="AG17" t="str">
            <v>VRF - ASHP</v>
          </cell>
          <cell r="AH17" t="str">
            <v>ERV</v>
          </cell>
          <cell r="AI17" t="str">
            <v>On Site</v>
          </cell>
          <cell r="AJ17" t="str">
            <v>Cast in place concrete with CMU Backup.  Metal panel rainscreen façade with thermal breaks.  A layer of continuous exterior mineral wool insulation, either 4” or 6” thick in most locations, is utilized to achieve an overall effective wall R-value of R-18.5.
Triple pane windows</v>
          </cell>
          <cell r="AK17" t="str">
            <v>Central condensing
natural gas-boiler</v>
          </cell>
          <cell r="AL17" t="str">
            <v>-</v>
          </cell>
          <cell r="AM17" t="str">
            <v>-</v>
          </cell>
          <cell r="AN17" t="str">
            <v>Smart Buildings controls</v>
          </cell>
          <cell r="AO17">
            <v>310758</v>
          </cell>
          <cell r="AP17">
            <v>264033</v>
          </cell>
          <cell r="AQ17">
            <v>1</v>
          </cell>
          <cell r="AR17">
            <v>26</v>
          </cell>
          <cell r="AS17">
            <v>277</v>
          </cell>
          <cell r="AT17" t="str">
            <v>Phius</v>
          </cell>
          <cell r="AU17" t="str">
            <v>NYC</v>
          </cell>
          <cell r="AV17" t="str">
            <v>Fossil Fuels</v>
          </cell>
          <cell r="AW17" t="str">
            <v>LMI</v>
          </cell>
          <cell r="AX17" t="str">
            <v>Yes</v>
          </cell>
          <cell r="AY17" t="str">
            <v>Block and Plank</v>
          </cell>
          <cell r="AZ17" t="str">
            <v>VRF - ASHP</v>
          </cell>
          <cell r="BA17" t="str">
            <v>ERV</v>
          </cell>
          <cell r="BB17" t="str">
            <v>Fossil Fuel</v>
          </cell>
          <cell r="BC17" t="str">
            <v>Yes</v>
          </cell>
          <cell r="BD17" t="str">
            <v>High Rise</v>
          </cell>
          <cell r="BE17" t="str">
            <v>No use of PV</v>
          </cell>
          <cell r="BF17" t="str">
            <v>No</v>
          </cell>
          <cell r="BG17" t="str">
            <v>No</v>
          </cell>
          <cell r="BH17" t="str">
            <v>No</v>
          </cell>
          <cell r="BI17" t="str">
            <v>No</v>
          </cell>
          <cell r="BJ17">
            <v>4</v>
          </cell>
          <cell r="BK17" t="str">
            <v>Yes</v>
          </cell>
          <cell r="BL17" t="str">
            <v>NC</v>
          </cell>
          <cell r="BM17" t="str">
            <v>2016 ECCC of NYS</v>
          </cell>
          <cell r="BN17" t="str">
            <v>Requires Grid Power</v>
          </cell>
          <cell r="BP17">
            <v>953.1877256317689</v>
          </cell>
          <cell r="BQ17" t="str">
            <v>No</v>
          </cell>
          <cell r="BR17" t="str">
            <v>No</v>
          </cell>
          <cell r="BS17" t="str">
            <v>Yes</v>
          </cell>
          <cell r="BT17" t="str">
            <v>PHIUS+ 2018 Core</v>
          </cell>
          <cell r="BW17" t="str">
            <v>-</v>
          </cell>
          <cell r="BX17">
            <v>13586516</v>
          </cell>
          <cell r="BY17">
            <v>13586516</v>
          </cell>
          <cell r="BZ17">
            <v>0</v>
          </cell>
          <cell r="CA17" t="str">
            <v>-</v>
          </cell>
          <cell r="CB17">
            <v>211330.99</v>
          </cell>
          <cell r="CF17">
            <v>0.8003961247268333</v>
          </cell>
          <cell r="CG17">
            <v>43.720567129406163</v>
          </cell>
          <cell r="CH17" t="str">
            <v>M3</v>
          </cell>
          <cell r="CJ17">
            <v>6998906</v>
          </cell>
          <cell r="CK17">
            <v>22898351.84</v>
          </cell>
          <cell r="CL17">
            <v>6106206</v>
          </cell>
          <cell r="CM17">
            <v>434701</v>
          </cell>
          <cell r="CN17">
            <v>0</v>
          </cell>
          <cell r="CO17">
            <v>617156</v>
          </cell>
          <cell r="CP17">
            <v>0</v>
          </cell>
          <cell r="CQ17">
            <v>546700</v>
          </cell>
          <cell r="CR17">
            <v>50300</v>
          </cell>
          <cell r="CS17">
            <v>84887679.159999996</v>
          </cell>
          <cell r="CT17">
            <v>122540000</v>
          </cell>
          <cell r="CU17">
            <v>-300000</v>
          </cell>
          <cell r="CV17">
            <v>0</v>
          </cell>
          <cell r="CW17">
            <v>0</v>
          </cell>
          <cell r="CX17">
            <v>0</v>
          </cell>
          <cell r="CY17">
            <v>0</v>
          </cell>
          <cell r="CZ17">
            <v>0</v>
          </cell>
          <cell r="DA17">
            <v>0</v>
          </cell>
          <cell r="DB17">
            <v>-300000</v>
          </cell>
          <cell r="DC17">
            <v>-750000</v>
          </cell>
          <cell r="DD17">
            <v>0</v>
          </cell>
          <cell r="DE17">
            <v>0</v>
          </cell>
          <cell r="DF17">
            <v>0</v>
          </cell>
          <cell r="DG17">
            <v>0</v>
          </cell>
          <cell r="DH17">
            <v>0</v>
          </cell>
          <cell r="DI17">
            <v>0</v>
          </cell>
          <cell r="DJ17">
            <v>121490000</v>
          </cell>
          <cell r="DK17">
            <v>22.522046093744972</v>
          </cell>
          <cell r="DL17">
            <v>73.685478217777174</v>
          </cell>
          <cell r="DM17">
            <v>0.51513618355139756</v>
          </cell>
          <cell r="DN17">
            <v>33.118218960692893</v>
          </cell>
          <cell r="DO17" t="e">
            <v>#DIV/0!</v>
          </cell>
          <cell r="DP17">
            <v>1.6853733392725552</v>
          </cell>
          <cell r="DQ17">
            <v>0.30565108130507268</v>
          </cell>
          <cell r="DR17">
            <v>8.6426866408757918E-3</v>
          </cell>
          <cell r="DS17">
            <v>394.32613158792373</v>
          </cell>
          <cell r="DT17">
            <v>390.94729661022404</v>
          </cell>
          <cell r="DU17">
            <v>37652320.840000004</v>
          </cell>
          <cell r="DV17">
            <v>0.30726555279908602</v>
          </cell>
          <cell r="DW17">
            <v>5890906</v>
          </cell>
          <cell r="DX17">
            <v>22202751.84</v>
          </cell>
          <cell r="DY17">
            <v>5856206</v>
          </cell>
          <cell r="DZ17">
            <v>434701</v>
          </cell>
          <cell r="EA17">
            <v>0</v>
          </cell>
          <cell r="EB17">
            <v>499708</v>
          </cell>
          <cell r="EC17">
            <v>0</v>
          </cell>
          <cell r="ED17">
            <v>546700</v>
          </cell>
          <cell r="EE17">
            <v>133900</v>
          </cell>
          <cell r="EF17">
            <v>84887679.159999996</v>
          </cell>
          <cell r="EG17">
            <v>120452552</v>
          </cell>
          <cell r="EH17">
            <v>0</v>
          </cell>
          <cell r="EI17">
            <v>0</v>
          </cell>
          <cell r="EJ17">
            <v>0</v>
          </cell>
          <cell r="EK17">
            <v>120452552</v>
          </cell>
          <cell r="EL17">
            <v>18.956570707753301</v>
          </cell>
          <cell r="EP17">
            <v>0.26532323751811115</v>
          </cell>
          <cell r="EQ17">
            <v>0</v>
          </cell>
          <cell r="ER17">
            <v>387.60885319122917</v>
          </cell>
          <cell r="ES17">
            <v>387.60885319122917</v>
          </cell>
          <cell r="ET17">
            <v>35564872.840000004</v>
          </cell>
          <cell r="EU17">
            <v>0.2952604344987228</v>
          </cell>
          <cell r="EV17">
            <v>1108000</v>
          </cell>
          <cell r="EW17">
            <v>695600</v>
          </cell>
          <cell r="EX17">
            <v>250000</v>
          </cell>
          <cell r="EY17">
            <v>0</v>
          </cell>
          <cell r="EZ17">
            <v>0</v>
          </cell>
          <cell r="FA17">
            <v>117448</v>
          </cell>
          <cell r="FB17">
            <v>0</v>
          </cell>
          <cell r="FC17">
            <v>0</v>
          </cell>
          <cell r="FD17">
            <v>-83600</v>
          </cell>
          <cell r="FE17">
            <v>0</v>
          </cell>
          <cell r="FF17">
            <v>2087448</v>
          </cell>
          <cell r="FG17">
            <v>-300000</v>
          </cell>
          <cell r="FH17">
            <v>-750000</v>
          </cell>
          <cell r="FI17">
            <v>0</v>
          </cell>
          <cell r="FJ17">
            <v>1037448</v>
          </cell>
          <cell r="FK17" t="str">
            <v>Downstate</v>
          </cell>
          <cell r="FL17" t="str">
            <v>ConEd</v>
          </cell>
          <cell r="FM17" t="str">
            <v>ConEd</v>
          </cell>
          <cell r="FN17">
            <v>1.7034829443447037E-2</v>
          </cell>
          <cell r="FO17">
            <v>8.5393694954317232E-3</v>
          </cell>
        </row>
        <row r="18">
          <cell r="C18" t="str">
            <v>Affordable and Sustainable Multifamily Housing for City of Hudson</v>
          </cell>
          <cell r="D18">
            <v>186931</v>
          </cell>
          <cell r="E18" t="str">
            <v>River Architects, PLLC - as of 10/7, will be changing to Galvan Initiatives Foundation (waiting on W-9)</v>
          </cell>
          <cell r="G18" t="str">
            <v>dkent@galvanfdn.org</v>
          </cell>
          <cell r="H18" t="str">
            <v>Pending</v>
          </cell>
          <cell r="I18" t="str">
            <v>Proposal</v>
          </cell>
          <cell r="J18" t="str">
            <v>Early Design</v>
          </cell>
          <cell r="K18">
            <v>22578074</v>
          </cell>
          <cell r="L18">
            <v>235.44333444564944</v>
          </cell>
          <cell r="M18" t="str">
            <v>Based on the Maple Street project in Poughkeepsie, R L Baxter Building Corporation is
projecting the Passive House energy efficiency strategies on this building will likely increase the total project cost by 8~9%.
We are currently learning from PHIUS case studies that were able to keep the cost impact down to 2~3% over conventional
construction. In most cases, “affordable solutions” have been achieved by relying on high-embodied energy materials such
as foam or fiberglass. We’re currently studying what can be achieved without using toxic, high-carbon footprint materials.
At our next stage, we will be using BeOpt modeling to help us find the investment sweet spot. With an early exploration of
building system options and integrated project delivery method, we are aiming to keep the overall cost increase to less than
5%.</v>
          </cell>
          <cell r="N18">
            <v>2032026.66</v>
          </cell>
          <cell r="O18">
            <v>21.189900100108449</v>
          </cell>
          <cell r="P18">
            <v>0.09</v>
          </cell>
          <cell r="Q18">
            <v>1215000</v>
          </cell>
          <cell r="R18">
            <v>5.3813270343608582E-2</v>
          </cell>
          <cell r="S18">
            <v>817026.65999999992</v>
          </cell>
          <cell r="T18">
            <v>8.5199242929840651</v>
          </cell>
          <cell r="U18">
            <v>3.6186729656391414E-2</v>
          </cell>
          <cell r="V18">
            <v>0</v>
          </cell>
          <cell r="Y18">
            <v>1000000</v>
          </cell>
          <cell r="Z18">
            <v>215000</v>
          </cell>
          <cell r="AG18" t="str">
            <v>ASHP
Project confirmed by email that project plans to use VRF.</v>
          </cell>
          <cell r="AH18" t="str">
            <v>ERV</v>
          </cell>
          <cell r="AI18" t="str">
            <v>Panelized</v>
          </cell>
          <cell r="AJ18" t="str">
            <v xml:space="preserve"> Recycled EPS foam insulation below the ground floor slab and foundation. Footings will be
thermally broken from the rest of the envelope or be continuously supported by structural foam.
Factory-made panelized systems (supplier TBD) for the 4-story height of this building.
Average U value for windows and doors will likely be .19 Btu/h·ft²·°F.</v>
          </cell>
          <cell r="AK18" t="str">
            <v xml:space="preserve">ASHP w/ CO2 </v>
          </cell>
          <cell r="AL18">
            <v>346716</v>
          </cell>
          <cell r="AM18" t="str">
            <v>Onsite Solar electric (PV) Owned
and
Remote Solar electric (PV) Owned</v>
          </cell>
          <cell r="AN18" t="str">
            <v>Hear pump clothes dryer, induction cooktop</v>
          </cell>
          <cell r="AO18">
            <v>95896</v>
          </cell>
          <cell r="AP18">
            <v>91630</v>
          </cell>
          <cell r="AQ18">
            <v>1</v>
          </cell>
          <cell r="AR18">
            <v>5</v>
          </cell>
          <cell r="AS18">
            <v>77</v>
          </cell>
          <cell r="AT18" t="str">
            <v>Phius</v>
          </cell>
          <cell r="AU18" t="str">
            <v>Capital Region</v>
          </cell>
          <cell r="AV18" t="str">
            <v>All Electric</v>
          </cell>
          <cell r="AW18" t="str">
            <v>LMI</v>
          </cell>
          <cell r="AX18" t="str">
            <v>Yes</v>
          </cell>
          <cell r="AY18" t="str">
            <v>Panelized</v>
          </cell>
          <cell r="AZ18" t="str">
            <v>VRF - ASHP</v>
          </cell>
          <cell r="BA18" t="str">
            <v>ERV</v>
          </cell>
          <cell r="BB18" t="str">
            <v xml:space="preserve">ASHP w/ CO2 </v>
          </cell>
          <cell r="BC18" t="str">
            <v>Yes</v>
          </cell>
          <cell r="BD18" t="str">
            <v>Mid Rise</v>
          </cell>
          <cell r="BE18" t="str">
            <v>PV</v>
          </cell>
          <cell r="BF18" t="str">
            <v>No</v>
          </cell>
          <cell r="BG18" t="str">
            <v>No</v>
          </cell>
          <cell r="BH18" t="str">
            <v>No</v>
          </cell>
          <cell r="BI18" t="str">
            <v>No</v>
          </cell>
          <cell r="BJ18">
            <v>4</v>
          </cell>
          <cell r="BK18" t="str">
            <v>Yes</v>
          </cell>
          <cell r="BL18" t="str">
            <v>NC</v>
          </cell>
          <cell r="BM18" t="str">
            <v>2019 ECCC of NYS 2020 (expected)</v>
          </cell>
          <cell r="BN18" t="str">
            <v>Requires Grid Power</v>
          </cell>
          <cell r="BP18">
            <v>1190</v>
          </cell>
          <cell r="BQ18" t="str">
            <v>No</v>
          </cell>
          <cell r="BR18" t="str">
            <v>No</v>
          </cell>
          <cell r="BS18" t="str">
            <v>Yes</v>
          </cell>
          <cell r="BT18" t="str">
            <v>-</v>
          </cell>
          <cell r="BW18" t="str">
            <v>-</v>
          </cell>
          <cell r="BX18">
            <v>1536630</v>
          </cell>
          <cell r="BY18">
            <v>1396441</v>
          </cell>
          <cell r="BZ18">
            <v>9.1231461054385246E-2</v>
          </cell>
          <cell r="CA18" t="str">
            <v>-</v>
          </cell>
          <cell r="CB18">
            <v>89016.87</v>
          </cell>
          <cell r="CF18">
            <v>0.97148171996071153</v>
          </cell>
          <cell r="CG18">
            <v>14.562035955618587</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t="e">
            <v>#DIV/0!</v>
          </cell>
          <cell r="DR18" t="e">
            <v>#DIV/0!</v>
          </cell>
          <cell r="DS18">
            <v>0</v>
          </cell>
          <cell r="DT18">
            <v>0</v>
          </cell>
          <cell r="DU18">
            <v>0</v>
          </cell>
          <cell r="DV18" t="e">
            <v>#DIV/0!</v>
          </cell>
          <cell r="EL18">
            <v>0</v>
          </cell>
          <cell r="EP18" t="e">
            <v>#DIV/0!</v>
          </cell>
          <cell r="EQ18" t="e">
            <v>#DIV/0!</v>
          </cell>
          <cell r="ER18">
            <v>0</v>
          </cell>
          <cell r="ES18">
            <v>0</v>
          </cell>
          <cell r="ET18">
            <v>0</v>
          </cell>
          <cell r="EU18" t="e">
            <v>#DIV/0!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t="str">
            <v>Upstate</v>
          </cell>
          <cell r="FL18" t="str">
            <v>National Grid</v>
          </cell>
          <cell r="FM18" t="str">
            <v>National Grid</v>
          </cell>
          <cell r="FN18" t="e">
            <v>#DIV/0!</v>
          </cell>
          <cell r="FO18" t="e">
            <v>#DIV/0!</v>
          </cell>
        </row>
        <row r="19">
          <cell r="C19" t="str">
            <v>St. Marks Passive House</v>
          </cell>
          <cell r="D19">
            <v>181199</v>
          </cell>
          <cell r="E19" t="str">
            <v>Cycle Architecture Planning - Tony Daniels 10.14.2019 - Changed to Masmore Corporation d/b/a Masmark, LLC</v>
          </cell>
          <cell r="H19" t="str">
            <v>YES</v>
          </cell>
          <cell r="I19" t="str">
            <v>Milestone 2</v>
          </cell>
          <cell r="J19" t="str">
            <v>Late Design</v>
          </cell>
          <cell r="K19">
            <v>5981080</v>
          </cell>
          <cell r="L19">
            <v>345.66722533664682</v>
          </cell>
          <cell r="M19" t="str">
            <v>From the outset, this building was planned to meet Passive House standards, and no comparison was undertaken with less energy efficient buildings.
However, cost control measures were implemented through the early stages of design. A construction management firm was engaged to provide pricing
feedback at schematic design and design development phases, and the design was adjusted and clarified to meet the project budget. In particular, it became
clear that input from the CM at early stages revealed potential savings in the design and construction of the building structure and foundation. Another potential area of cost savings is the drastic reduction and potential
elimination of gas piping from the building. As currently designed and approved, gas piping is only required for the building’s water heating system and emergency generator. It is under consideration to provide electric water heat and a battery emergency backup system. This depends in part on City approvals for battery backup systems, but it may result in elimination of gas
service and piping altogether, which would be a substantial savings.
The solar owning entity can anticipate a 5.86 year payback on investment and nearly $170,000 in revenue from the sale of the energy over 25 years, or roughly $6,800 per year.
Stated in email that incremental was 5-7%</v>
          </cell>
          <cell r="N19">
            <v>221257.05627705622</v>
          </cell>
          <cell r="O19">
            <v>15.302028549962435</v>
          </cell>
          <cell r="P19">
            <v>4.4268092050265169E-2</v>
          </cell>
          <cell r="Q19">
            <v>246596</v>
          </cell>
          <cell r="R19">
            <v>4.1229343195543278E-2</v>
          </cell>
          <cell r="S19">
            <v>-25338.943722943775</v>
          </cell>
          <cell r="T19">
            <v>1.0955653238362086</v>
          </cell>
          <cell r="U19">
            <v>3.1694220439014219E-3</v>
          </cell>
          <cell r="V19">
            <v>0</v>
          </cell>
          <cell r="Y19">
            <v>238920</v>
          </cell>
          <cell r="Z19">
            <v>14400</v>
          </cell>
          <cell r="AA19">
            <v>13608</v>
          </cell>
          <cell r="AG19" t="str">
            <v>VRF - ASHP</v>
          </cell>
          <cell r="AH19" t="str">
            <v>ERV</v>
          </cell>
          <cell r="AI19" t="str">
            <v>On Site</v>
          </cell>
          <cell r="AJ19" t="str">
            <v xml:space="preserve"> Manufactured &amp; panelized clip-on façade
"Well insulated" with mineral wool
Triple glazed windows</v>
          </cell>
          <cell r="AK19" t="str">
            <v xml:space="preserve">We're using the Colmac CxV-5 ASHP, it's a central plant with storage at the roof.  The heating and cooling is the LG multi v split heat pump and we have one condensing unit per apartment unit.  Both heat pump systems will use R410A refrigerant.  </v>
          </cell>
          <cell r="AL19">
            <v>59904</v>
          </cell>
          <cell r="AM19" t="str">
            <v>Onsite Solar electric (PV) Owned</v>
          </cell>
          <cell r="AN19" t="str">
            <v>EV, battery storage</v>
          </cell>
          <cell r="AO19">
            <v>17303</v>
          </cell>
          <cell r="AP19">
            <v>17303</v>
          </cell>
          <cell r="AQ19">
            <v>1</v>
          </cell>
          <cell r="AR19">
            <v>5</v>
          </cell>
          <cell r="AS19">
            <v>10</v>
          </cell>
          <cell r="AT19" t="str">
            <v>PHI</v>
          </cell>
          <cell r="AU19" t="str">
            <v>NYC</v>
          </cell>
          <cell r="AV19" t="str">
            <v>All Electric</v>
          </cell>
          <cell r="AW19" t="str">
            <v>Market Rate</v>
          </cell>
          <cell r="AX19" t="str">
            <v>Yes</v>
          </cell>
          <cell r="AY19" t="str">
            <v>Structural Steel</v>
          </cell>
          <cell r="AZ19" t="str">
            <v>VRF - ASHP</v>
          </cell>
          <cell r="BA19" t="str">
            <v>ERV</v>
          </cell>
          <cell r="BB19" t="str">
            <v>ASHP</v>
          </cell>
          <cell r="BC19" t="str">
            <v>Yes</v>
          </cell>
          <cell r="BD19" t="str">
            <v>Mid Rise</v>
          </cell>
          <cell r="BE19" t="str">
            <v>PV</v>
          </cell>
          <cell r="BF19" t="str">
            <v>No</v>
          </cell>
          <cell r="BG19" t="str">
            <v>Yes</v>
          </cell>
          <cell r="BH19" t="str">
            <v>No</v>
          </cell>
          <cell r="BI19" t="str">
            <v>No</v>
          </cell>
          <cell r="BJ19">
            <v>4</v>
          </cell>
          <cell r="BK19" t="str">
            <v>No</v>
          </cell>
          <cell r="BL19" t="str">
            <v>NC</v>
          </cell>
          <cell r="BM19" t="str">
            <v>2016 ECCC of NYS</v>
          </cell>
          <cell r="BN19" t="str">
            <v>Net Zero Energy</v>
          </cell>
          <cell r="BP19">
            <v>1730.3</v>
          </cell>
          <cell r="BQ19" t="str">
            <v>Yes</v>
          </cell>
          <cell r="BR19" t="str">
            <v>No</v>
          </cell>
          <cell r="BS19" t="str">
            <v>No</v>
          </cell>
          <cell r="BT19" t="str">
            <v>-</v>
          </cell>
          <cell r="BW19" t="str">
            <v>-</v>
          </cell>
          <cell r="BX19">
            <v>362828</v>
          </cell>
          <cell r="BY19">
            <v>302924</v>
          </cell>
          <cell r="BZ19">
            <v>0.16510302402240179</v>
          </cell>
          <cell r="CA19" t="str">
            <v>-</v>
          </cell>
          <cell r="CB19">
            <v>2283.23</v>
          </cell>
          <cell r="CF19">
            <v>0.13195573022019302</v>
          </cell>
          <cell r="CG19">
            <v>17.507021903716119</v>
          </cell>
          <cell r="CH19" t="str">
            <v>M2</v>
          </cell>
          <cell r="CJ19">
            <v>275000</v>
          </cell>
          <cell r="CK19">
            <v>1286500</v>
          </cell>
          <cell r="CL19">
            <v>105000</v>
          </cell>
          <cell r="CM19">
            <v>120000</v>
          </cell>
          <cell r="CN19">
            <v>40000</v>
          </cell>
          <cell r="CO19">
            <v>80000</v>
          </cell>
          <cell r="CP19">
            <v>0</v>
          </cell>
          <cell r="CQ19">
            <v>0</v>
          </cell>
          <cell r="CR19">
            <v>186730</v>
          </cell>
          <cell r="CS19">
            <v>3887850</v>
          </cell>
          <cell r="CT19">
            <v>5981080</v>
          </cell>
          <cell r="CU19">
            <v>0</v>
          </cell>
          <cell r="CV19">
            <v>-13608</v>
          </cell>
          <cell r="CW19">
            <v>0</v>
          </cell>
          <cell r="CX19">
            <v>0</v>
          </cell>
          <cell r="CY19">
            <v>0</v>
          </cell>
          <cell r="CZ19">
            <v>0</v>
          </cell>
          <cell r="DA19">
            <v>0</v>
          </cell>
          <cell r="DB19">
            <v>-13608</v>
          </cell>
          <cell r="DC19">
            <v>-203082</v>
          </cell>
          <cell r="DD19">
            <v>-11156</v>
          </cell>
          <cell r="DE19">
            <v>-18750</v>
          </cell>
          <cell r="DF19">
            <v>0</v>
          </cell>
          <cell r="DG19">
            <v>0</v>
          </cell>
          <cell r="DH19">
            <v>0</v>
          </cell>
          <cell r="DI19">
            <v>-29906</v>
          </cell>
          <cell r="DJ19">
            <v>5734484</v>
          </cell>
          <cell r="DK19">
            <v>15.89319771137953</v>
          </cell>
          <cell r="DL19">
            <v>74.351268566144597</v>
          </cell>
          <cell r="DM19">
            <v>0.75793488925882235</v>
          </cell>
          <cell r="DN19">
            <v>120.44340692790476</v>
          </cell>
          <cell r="DO19">
            <v>0.66773504273504269</v>
          </cell>
          <cell r="DP19">
            <v>3.5457572182962727</v>
          </cell>
          <cell r="DQ19">
            <v>0.2137582588418189</v>
          </cell>
          <cell r="DR19">
            <v>4.3002299770999446E-2</v>
          </cell>
          <cell r="DS19">
            <v>345.66722533664682</v>
          </cell>
          <cell r="DT19">
            <v>331.41559267179105</v>
          </cell>
          <cell r="DU19">
            <v>2093230</v>
          </cell>
          <cell r="DV19">
            <v>0.34997525530506196</v>
          </cell>
          <cell r="DW19">
            <v>250909.09090909088</v>
          </cell>
          <cell r="DX19">
            <v>1239704.5454545454</v>
          </cell>
          <cell r="DY19">
            <v>95454.545454545441</v>
          </cell>
          <cell r="DZ19">
            <v>95000</v>
          </cell>
          <cell r="EA19">
            <v>50000</v>
          </cell>
          <cell r="EB19">
            <v>85000</v>
          </cell>
          <cell r="EC19">
            <v>0</v>
          </cell>
          <cell r="ED19">
            <v>0</v>
          </cell>
          <cell r="EE19">
            <v>161904.76190476189</v>
          </cell>
          <cell r="EF19">
            <v>3781850</v>
          </cell>
          <cell r="EG19">
            <v>5759822.9437229438</v>
          </cell>
          <cell r="EH19">
            <v>-13608</v>
          </cell>
          <cell r="EI19">
            <v>0</v>
          </cell>
          <cell r="EJ19">
            <v>-29906</v>
          </cell>
          <cell r="EK19">
            <v>5716309</v>
          </cell>
          <cell r="EL19">
            <v>14.500901052366114</v>
          </cell>
          <cell r="EP19">
            <v>0.20239426549581094</v>
          </cell>
          <cell r="EQ19">
            <v>7.6122448459213414E-3</v>
          </cell>
          <cell r="ER19">
            <v>332.88001755319561</v>
          </cell>
          <cell r="ES19">
            <v>330.36519678668441</v>
          </cell>
          <cell r="ET19">
            <v>1977972.9437229435</v>
          </cell>
          <cell r="EU19">
            <v>0.34340863652389503</v>
          </cell>
          <cell r="EV19">
            <v>24090.909090909117</v>
          </cell>
          <cell r="EW19">
            <v>46795.454545454588</v>
          </cell>
          <cell r="EX19">
            <v>9545.4545454545587</v>
          </cell>
          <cell r="EY19">
            <v>25000</v>
          </cell>
          <cell r="EZ19">
            <v>-10000</v>
          </cell>
          <cell r="FA19">
            <v>-5000</v>
          </cell>
          <cell r="FB19">
            <v>0</v>
          </cell>
          <cell r="FC19">
            <v>0</v>
          </cell>
          <cell r="FD19">
            <v>24825.238095238106</v>
          </cell>
          <cell r="FE19">
            <v>106000</v>
          </cell>
          <cell r="FF19">
            <v>221257.05627705622</v>
          </cell>
          <cell r="FG19">
            <v>0</v>
          </cell>
          <cell r="FH19">
            <v>-203082</v>
          </cell>
          <cell r="FI19">
            <v>0</v>
          </cell>
          <cell r="FJ19">
            <v>18175</v>
          </cell>
          <cell r="FK19" t="str">
            <v>Downstate</v>
          </cell>
          <cell r="FL19" t="str">
            <v>ConEd</v>
          </cell>
          <cell r="FM19" t="str">
            <v>National Grid</v>
          </cell>
          <cell r="FN19">
            <v>4.4268092050265169E-2</v>
          </cell>
          <cell r="FO19">
            <v>3.1694220439014219E-3</v>
          </cell>
        </row>
        <row r="20">
          <cell r="C20" t="str">
            <v>North Miller Passive Multifamily</v>
          </cell>
          <cell r="D20">
            <v>186872</v>
          </cell>
          <cell r="E20" t="str">
            <v>Northeast Projects</v>
          </cell>
          <cell r="H20" t="str">
            <v>YES</v>
          </cell>
          <cell r="I20" t="str">
            <v>Milestone 4</v>
          </cell>
          <cell r="J20" t="str">
            <v>Completed within 3 years</v>
          </cell>
          <cell r="K20">
            <v>452607.35</v>
          </cell>
          <cell r="L20">
            <v>113.94948388721046</v>
          </cell>
          <cell r="M20" t="str">
            <v>The investment in a certified Passive House envelope adds about 15% additional cost to the project, but the pairing of onsite renewables easily designates this project as a net-zero / source-zero residence. At a price per gross SF of $96.93 the feasibility of retrofitting an existing masonry building is roughly 1/3 the total investment of a comparably sized new construction which averages between $280 - $300/SF throughout the Hudson Valley.</v>
          </cell>
          <cell r="N20">
            <v>67107.349999999977</v>
          </cell>
          <cell r="O20">
            <v>16.8951032225579</v>
          </cell>
          <cell r="P20">
            <v>0.14826836108604949</v>
          </cell>
          <cell r="Q20">
            <v>66322</v>
          </cell>
          <cell r="R20">
            <v>0.14653319262270045</v>
          </cell>
          <cell r="S20">
            <v>785.34999999997672</v>
          </cell>
          <cell r="T20">
            <v>0.2316687059729759</v>
          </cell>
          <cell r="U20">
            <v>2.0330825385947893E-3</v>
          </cell>
          <cell r="V20">
            <v>6000</v>
          </cell>
          <cell r="Y20">
            <v>39720</v>
          </cell>
          <cell r="Z20">
            <v>12600</v>
          </cell>
          <cell r="AA20">
            <v>3150</v>
          </cell>
          <cell r="AG20" t="str">
            <v>ASHP</v>
          </cell>
          <cell r="AH20" t="str">
            <v>ERV</v>
          </cell>
          <cell r="AI20" t="str">
            <v>On Site</v>
          </cell>
          <cell r="AJ20" t="str">
            <v xml:space="preserve">Continuous insulation inside and  outside
Triple pane windows </v>
          </cell>
          <cell r="AK20" t="str">
            <v>ASHP</v>
          </cell>
          <cell r="AL20">
            <v>162212</v>
          </cell>
          <cell r="AM20" t="str">
            <v>Onsite Solar electric (PV) Owned
and
Remote Solar electric (PV) Owned</v>
          </cell>
          <cell r="AN20" t="str">
            <v>Smart Buildings Controls</v>
          </cell>
          <cell r="AO20">
            <v>3972</v>
          </cell>
          <cell r="AP20">
            <v>3972</v>
          </cell>
          <cell r="AQ20">
            <v>1</v>
          </cell>
          <cell r="AR20">
            <v>3</v>
          </cell>
          <cell r="AS20">
            <v>3</v>
          </cell>
          <cell r="AT20" t="str">
            <v>Phius</v>
          </cell>
          <cell r="AU20" t="str">
            <v>Mid Hudson</v>
          </cell>
          <cell r="AV20" t="str">
            <v>All Electric</v>
          </cell>
          <cell r="AW20" t="str">
            <v>LMI</v>
          </cell>
          <cell r="AX20" t="str">
            <v>Yes</v>
          </cell>
          <cell r="AY20" t="str">
            <v>Gut Rehab</v>
          </cell>
          <cell r="AZ20" t="str">
            <v>Minisplit - ASHP</v>
          </cell>
          <cell r="BA20" t="str">
            <v>ERV</v>
          </cell>
          <cell r="BB20" t="str">
            <v>ASHP</v>
          </cell>
          <cell r="BC20" t="str">
            <v>Yes</v>
          </cell>
          <cell r="BD20" t="str">
            <v>Low Rise</v>
          </cell>
          <cell r="BE20" t="str">
            <v>PV</v>
          </cell>
          <cell r="BF20" t="str">
            <v>No</v>
          </cell>
          <cell r="BG20" t="str">
            <v>No</v>
          </cell>
          <cell r="BH20" t="str">
            <v>No</v>
          </cell>
          <cell r="BI20" t="str">
            <v>No</v>
          </cell>
          <cell r="BJ20">
            <v>5</v>
          </cell>
          <cell r="BK20" t="str">
            <v>No</v>
          </cell>
          <cell r="BL20" t="str">
            <v>GR</v>
          </cell>
          <cell r="BM20" t="str">
            <v>2019 ECCC of NYS 2020 (expected)</v>
          </cell>
          <cell r="BN20" t="str">
            <v>Net Zero Energy</v>
          </cell>
          <cell r="BP20">
            <v>1324</v>
          </cell>
          <cell r="BQ20" t="str">
            <v>No</v>
          </cell>
          <cell r="BR20" t="str">
            <v>No</v>
          </cell>
          <cell r="BS20" t="str">
            <v>No</v>
          </cell>
          <cell r="BT20" t="str">
            <v>-</v>
          </cell>
          <cell r="BW20" t="str">
            <v>-</v>
          </cell>
          <cell r="BX20">
            <v>162212</v>
          </cell>
          <cell r="BY20">
            <v>0</v>
          </cell>
          <cell r="BZ20">
            <v>1</v>
          </cell>
          <cell r="CA20" t="str">
            <v>-</v>
          </cell>
          <cell r="CB20">
            <v>288</v>
          </cell>
          <cell r="CF20">
            <v>7.2507552870090641E-2</v>
          </cell>
          <cell r="CG20">
            <v>0</v>
          </cell>
          <cell r="CH20" t="str">
            <v>M4</v>
          </cell>
          <cell r="CJ20">
            <v>8539.65</v>
          </cell>
          <cell r="CK20">
            <v>96977.91</v>
          </cell>
          <cell r="CL20">
            <v>5400</v>
          </cell>
          <cell r="CM20">
            <v>7000</v>
          </cell>
          <cell r="CN20">
            <v>27815</v>
          </cell>
          <cell r="CO20">
            <v>2147.13</v>
          </cell>
          <cell r="CP20">
            <v>2300</v>
          </cell>
          <cell r="CQ20">
            <v>7650</v>
          </cell>
          <cell r="CR20">
            <v>5000</v>
          </cell>
          <cell r="CS20">
            <v>289777.65999999997</v>
          </cell>
          <cell r="CT20">
            <v>452607.35</v>
          </cell>
          <cell r="CU20">
            <v>-12600</v>
          </cell>
          <cell r="CV20">
            <v>0</v>
          </cell>
          <cell r="CW20">
            <v>0</v>
          </cell>
          <cell r="CX20">
            <v>0</v>
          </cell>
          <cell r="CY20">
            <v>0</v>
          </cell>
          <cell r="CZ20">
            <v>0</v>
          </cell>
          <cell r="DA20">
            <v>0</v>
          </cell>
          <cell r="DB20">
            <v>-12600</v>
          </cell>
          <cell r="DC20">
            <v>-39467</v>
          </cell>
          <cell r="DD20">
            <v>0</v>
          </cell>
          <cell r="DE20">
            <v>-14255</v>
          </cell>
          <cell r="DF20">
            <v>0</v>
          </cell>
          <cell r="DG20">
            <v>0</v>
          </cell>
          <cell r="DH20">
            <v>0</v>
          </cell>
          <cell r="DI20">
            <v>-14255</v>
          </cell>
          <cell r="DJ20">
            <v>386285.35</v>
          </cell>
          <cell r="DK20">
            <v>2.1499622356495469</v>
          </cell>
          <cell r="DL20">
            <v>24.415385196374622</v>
          </cell>
          <cell r="DM20">
            <v>5.2644995438068699E-2</v>
          </cell>
          <cell r="DN20">
            <v>29.651562499999997</v>
          </cell>
          <cell r="DO20">
            <v>0.17147313392350752</v>
          </cell>
          <cell r="DP20">
            <v>0.59784670677878338</v>
          </cell>
          <cell r="DQ20">
            <v>8.805768241447974E-2</v>
          </cell>
          <cell r="DR20">
            <v>0.17169172996076607</v>
          </cell>
          <cell r="DS20">
            <v>113.94948388721046</v>
          </cell>
          <cell r="DT20">
            <v>97.252102215508557</v>
          </cell>
          <cell r="DU20">
            <v>162829.69</v>
          </cell>
          <cell r="DV20">
            <v>0.35975927036978078</v>
          </cell>
          <cell r="DW20">
            <v>10000</v>
          </cell>
          <cell r="DX20">
            <v>85000</v>
          </cell>
          <cell r="DY20">
            <v>5000</v>
          </cell>
          <cell r="DZ20">
            <v>6000</v>
          </cell>
          <cell r="EA20">
            <v>28000</v>
          </cell>
          <cell r="EB20">
            <v>2000</v>
          </cell>
          <cell r="EC20">
            <v>2000</v>
          </cell>
          <cell r="ED20">
            <v>7500</v>
          </cell>
          <cell r="EE20">
            <v>5000</v>
          </cell>
          <cell r="EF20">
            <v>235000</v>
          </cell>
          <cell r="EG20">
            <v>385500</v>
          </cell>
          <cell r="EK20">
            <v>385500</v>
          </cell>
          <cell r="EL20">
            <v>2.5176233635448138</v>
          </cell>
          <cell r="EP20">
            <v>0.11764705882352941</v>
          </cell>
          <cell r="EQ20">
            <v>0</v>
          </cell>
          <cell r="ER20">
            <v>97.05438066465257</v>
          </cell>
          <cell r="ES20">
            <v>97.05438066465257</v>
          </cell>
          <cell r="ET20">
            <v>150500</v>
          </cell>
          <cell r="EU20">
            <v>0.39040207522697795</v>
          </cell>
          <cell r="EV20">
            <v>-1460.3500000000004</v>
          </cell>
          <cell r="EW20">
            <v>11977.910000000003</v>
          </cell>
          <cell r="EX20">
            <v>400</v>
          </cell>
          <cell r="EY20">
            <v>1000</v>
          </cell>
          <cell r="EZ20">
            <v>-185</v>
          </cell>
          <cell r="FA20">
            <v>147.13000000000011</v>
          </cell>
          <cell r="FB20">
            <v>300</v>
          </cell>
          <cell r="FC20">
            <v>150</v>
          </cell>
          <cell r="FD20">
            <v>0</v>
          </cell>
          <cell r="FE20">
            <v>54777.659999999974</v>
          </cell>
          <cell r="FF20">
            <v>67107.349999999977</v>
          </cell>
          <cell r="FG20">
            <v>-12600</v>
          </cell>
          <cell r="FH20">
            <v>-39467</v>
          </cell>
          <cell r="FI20">
            <v>-14255</v>
          </cell>
          <cell r="FJ20">
            <v>785.34999999997672</v>
          </cell>
          <cell r="FK20" t="str">
            <v>Upstate</v>
          </cell>
          <cell r="FL20" t="str">
            <v>CHG&amp;E</v>
          </cell>
          <cell r="FM20" t="str">
            <v>CHG&amp;E</v>
          </cell>
          <cell r="FN20">
            <v>0.14826836108604949</v>
          </cell>
          <cell r="FO20">
            <v>2.0330825385947893E-3</v>
          </cell>
        </row>
        <row r="21">
          <cell r="C21" t="str">
            <v xml:space="preserve">Park Avenue Green </v>
          </cell>
          <cell r="D21">
            <v>188300</v>
          </cell>
          <cell r="E21" t="str">
            <v>Omni New York LLC</v>
          </cell>
          <cell r="G21" t="str">
            <v>adarrat@onyllc.com</v>
          </cell>
          <cell r="H21" t="str">
            <v>YES</v>
          </cell>
          <cell r="I21" t="str">
            <v>Milestone 3</v>
          </cell>
          <cell r="J21" t="str">
            <v>Completed within 3 years</v>
          </cell>
          <cell r="K21">
            <v>47623777.640000001</v>
          </cell>
          <cell r="L21">
            <v>290.84466291688807</v>
          </cell>
          <cell r="M21" t="str">
            <v>Incorporation of high-performance construction elements, such as VRFs, ERVs, and thicker insulation, are projected to have increased total construction cost for the project by approximately 5-10% compared to traditional multifamily construction practice.</v>
          </cell>
          <cell r="N21">
            <v>3329736.3100000024</v>
          </cell>
          <cell r="O21">
            <v>20.335136830276728</v>
          </cell>
          <cell r="P21">
            <v>6.9917517572215898E-2</v>
          </cell>
          <cell r="Q21">
            <v>541000</v>
          </cell>
          <cell r="R21">
            <v>1.1359871618953746E-2</v>
          </cell>
          <cell r="S21">
            <v>2788736.3100000024</v>
          </cell>
          <cell r="T21">
            <v>17.226873874088561</v>
          </cell>
          <cell r="U21">
            <v>5.9230496792754696E-2</v>
          </cell>
          <cell r="V21">
            <v>0</v>
          </cell>
          <cell r="Y21">
            <v>250000</v>
          </cell>
          <cell r="Z21">
            <v>300000</v>
          </cell>
          <cell r="AA21">
            <v>20520</v>
          </cell>
          <cell r="AG21" t="str">
            <v>VRF - ASHP</v>
          </cell>
          <cell r="AH21" t="str">
            <v>ERV</v>
          </cell>
          <cell r="AI21" t="str">
            <v>On Site</v>
          </cell>
          <cell r="AJ21" t="str">
            <v xml:space="preserve">The primary above-grade wall assembly consists a Dryvit Outsulation expanded polystyrene (EPS) Exterior Insulation &amp; Finish System (EIFS). This insulation layer covers the 2nd-15th Floors and ranges in thickness from 4” (R-15.4) to 7” (R-26.9). The 1st Floor has a brick façade with approximately 5” (R-25) extruded polystyrene (XPS). 
Triple-pane  windows 
</v>
          </cell>
          <cell r="AK21" t="str">
            <v>CHP and Demand Recirculation</v>
          </cell>
          <cell r="AL21">
            <v>399210</v>
          </cell>
          <cell r="AM21" t="str">
            <v>Onsite Solar electric (PV) Owned</v>
          </cell>
          <cell r="AN21" t="str">
            <v>Smart Buildings Controls</v>
          </cell>
          <cell r="AO21">
            <v>163743</v>
          </cell>
          <cell r="AP21">
            <v>159146</v>
          </cell>
          <cell r="AQ21">
            <v>1</v>
          </cell>
          <cell r="AR21">
            <v>15</v>
          </cell>
          <cell r="AS21">
            <v>154</v>
          </cell>
          <cell r="AT21" t="str">
            <v>Phius</v>
          </cell>
          <cell r="AU21" t="str">
            <v>NYC</v>
          </cell>
          <cell r="AV21" t="str">
            <v>Fossil Fuels</v>
          </cell>
          <cell r="AW21" t="str">
            <v>LMI</v>
          </cell>
          <cell r="AX21" t="str">
            <v>Yes</v>
          </cell>
          <cell r="AY21" t="str">
            <v>Cast in Place Concrete</v>
          </cell>
          <cell r="AZ21" t="str">
            <v>VRF - ASHP</v>
          </cell>
          <cell r="BA21" t="str">
            <v>ERV</v>
          </cell>
          <cell r="BB21" t="str">
            <v>Fossil Fuel</v>
          </cell>
          <cell r="BC21" t="str">
            <v>Yes</v>
          </cell>
          <cell r="BD21" t="str">
            <v>Mid Rise</v>
          </cell>
          <cell r="BE21" t="str">
            <v>PV</v>
          </cell>
          <cell r="BF21" t="str">
            <v>No</v>
          </cell>
          <cell r="BG21" t="str">
            <v>No</v>
          </cell>
          <cell r="BH21" t="str">
            <v>No</v>
          </cell>
          <cell r="BI21" t="str">
            <v>No</v>
          </cell>
          <cell r="BJ21">
            <v>4</v>
          </cell>
          <cell r="BK21" t="str">
            <v>Yes</v>
          </cell>
          <cell r="BL21" t="str">
            <v>NC</v>
          </cell>
          <cell r="BM21" t="str">
            <v>2014 ECCC of NYS</v>
          </cell>
          <cell r="BN21" t="str">
            <v>Requires Grid Power</v>
          </cell>
          <cell r="BP21">
            <v>1033.4155844155844</v>
          </cell>
          <cell r="BQ21" t="str">
            <v>Yes</v>
          </cell>
          <cell r="BR21" t="str">
            <v>?</v>
          </cell>
          <cell r="BS21" t="str">
            <v>Yes</v>
          </cell>
          <cell r="BT21" t="str">
            <v>-</v>
          </cell>
          <cell r="BW21" t="str">
            <v>-</v>
          </cell>
          <cell r="BX21">
            <v>7223793</v>
          </cell>
          <cell r="BY21">
            <v>6824583</v>
          </cell>
          <cell r="BZ21">
            <v>5.5263211445842925E-2</v>
          </cell>
          <cell r="CA21" t="str">
            <v>-</v>
          </cell>
          <cell r="CB21">
            <v>268095.03000000003</v>
          </cell>
          <cell r="CF21">
            <v>1.684585412137283</v>
          </cell>
          <cell r="CG21">
            <v>41.678624429746613</v>
          </cell>
          <cell r="CH21" t="str">
            <v>M3</v>
          </cell>
          <cell r="CJ21">
            <v>3770484.94</v>
          </cell>
          <cell r="CK21">
            <v>4079691.16</v>
          </cell>
          <cell r="CL21">
            <v>3048214.42</v>
          </cell>
          <cell r="CM21">
            <v>63526</v>
          </cell>
          <cell r="CN21">
            <v>682830</v>
          </cell>
          <cell r="CO21">
            <v>141119.70000000001</v>
          </cell>
          <cell r="CP21">
            <v>365000</v>
          </cell>
          <cell r="CQ21">
            <v>73675</v>
          </cell>
          <cell r="CR21">
            <v>0</v>
          </cell>
          <cell r="CS21">
            <v>35399236.420000002</v>
          </cell>
          <cell r="CT21">
            <v>47623777.640000001</v>
          </cell>
          <cell r="CU21">
            <v>-138600</v>
          </cell>
          <cell r="CV21">
            <v>0</v>
          </cell>
          <cell r="CW21">
            <v>-132000</v>
          </cell>
          <cell r="CX21">
            <v>0</v>
          </cell>
          <cell r="CY21">
            <v>0</v>
          </cell>
          <cell r="CZ21">
            <v>0</v>
          </cell>
          <cell r="DA21">
            <v>0</v>
          </cell>
          <cell r="DB21">
            <v>-270600</v>
          </cell>
          <cell r="DC21">
            <v>-250000</v>
          </cell>
          <cell r="DD21">
            <v>0</v>
          </cell>
          <cell r="DE21">
            <v>-20400</v>
          </cell>
          <cell r="DF21">
            <v>0</v>
          </cell>
          <cell r="DG21">
            <v>0</v>
          </cell>
          <cell r="DH21">
            <v>0</v>
          </cell>
          <cell r="DI21">
            <v>-20400</v>
          </cell>
          <cell r="DJ21">
            <v>47082777.640000001</v>
          </cell>
          <cell r="DK21">
            <v>23.026846582754683</v>
          </cell>
          <cell r="DL21">
            <v>24.915209566210464</v>
          </cell>
          <cell r="DM21">
            <v>0.52195362464013018</v>
          </cell>
          <cell r="DN21">
            <v>14.06398671396482</v>
          </cell>
          <cell r="DO21">
            <v>1.7104531449612985</v>
          </cell>
          <cell r="DP21">
            <v>0.56475748405304527</v>
          </cell>
          <cell r="DQ21">
            <v>0.9242084246396729</v>
          </cell>
          <cell r="DR21">
            <v>1.1490401100303478E-2</v>
          </cell>
          <cell r="DS21">
            <v>290.84466291688807</v>
          </cell>
          <cell r="DT21">
            <v>287.54070488509433</v>
          </cell>
          <cell r="DU21">
            <v>12224541.219999999</v>
          </cell>
          <cell r="DV21">
            <v>0.25668986850241809</v>
          </cell>
          <cell r="DW21">
            <v>2576989.96</v>
          </cell>
          <cell r="DX21">
            <v>2982954.83</v>
          </cell>
          <cell r="DY21">
            <v>2958214.42</v>
          </cell>
          <cell r="DZ21">
            <v>38526</v>
          </cell>
          <cell r="EA21">
            <v>197000</v>
          </cell>
          <cell r="EB21">
            <v>141119.70000000001</v>
          </cell>
          <cell r="EC21">
            <v>0</v>
          </cell>
          <cell r="ED21">
            <v>0</v>
          </cell>
          <cell r="EE21">
            <v>0</v>
          </cell>
          <cell r="EF21">
            <v>35399236.420000002</v>
          </cell>
          <cell r="EG21">
            <v>44294041.329999998</v>
          </cell>
          <cell r="EH21">
            <v>0</v>
          </cell>
          <cell r="EI21">
            <v>0</v>
          </cell>
          <cell r="EJ21">
            <v>0</v>
          </cell>
          <cell r="EK21">
            <v>44294041.329999998</v>
          </cell>
          <cell r="EL21">
            <v>15.738016037326787</v>
          </cell>
          <cell r="EP21">
            <v>0.86390512322977409</v>
          </cell>
          <cell r="EQ21">
            <v>0</v>
          </cell>
          <cell r="ER21">
            <v>270.50952608661134</v>
          </cell>
          <cell r="ES21">
            <v>270.50952608661134</v>
          </cell>
          <cell r="ET21">
            <v>8894804.9100000001</v>
          </cell>
          <cell r="EU21">
            <v>0.20081267463792291</v>
          </cell>
          <cell r="EV21">
            <v>1193494.98</v>
          </cell>
          <cell r="EW21">
            <v>1096736.33</v>
          </cell>
          <cell r="EX21">
            <v>90000</v>
          </cell>
          <cell r="EY21">
            <v>25000</v>
          </cell>
          <cell r="EZ21">
            <v>485830</v>
          </cell>
          <cell r="FA21">
            <v>0</v>
          </cell>
          <cell r="FB21">
            <v>365000</v>
          </cell>
          <cell r="FC21">
            <v>73675</v>
          </cell>
          <cell r="FD21">
            <v>0</v>
          </cell>
          <cell r="FE21">
            <v>0</v>
          </cell>
          <cell r="FF21">
            <v>3329736.3100000024</v>
          </cell>
          <cell r="FG21">
            <v>-270600</v>
          </cell>
          <cell r="FH21">
            <v>-250000</v>
          </cell>
          <cell r="FI21">
            <v>-20400</v>
          </cell>
          <cell r="FJ21">
            <v>2788736.3100000024</v>
          </cell>
          <cell r="FK21" t="str">
            <v>Downstate</v>
          </cell>
          <cell r="FL21" t="str">
            <v>ConEd</v>
          </cell>
          <cell r="FM21" t="str">
            <v>ConEd</v>
          </cell>
          <cell r="FN21">
            <v>6.9917517572215898E-2</v>
          </cell>
          <cell r="FO21">
            <v>5.9230496792754696E-2</v>
          </cell>
        </row>
        <row r="22">
          <cell r="C22" t="str">
            <v xml:space="preserve">Perdita Flats </v>
          </cell>
          <cell r="D22">
            <v>182255</v>
          </cell>
          <cell r="E22" t="str">
            <v>Btu Consulting</v>
          </cell>
          <cell r="H22" t="str">
            <v>YES</v>
          </cell>
          <cell r="I22" t="str">
            <v>Milestone 1</v>
          </cell>
          <cell r="J22" t="str">
            <v>Under Construction</v>
          </cell>
          <cell r="K22">
            <v>664160</v>
          </cell>
          <cell r="L22">
            <v>188.25396825396825</v>
          </cell>
          <cell r="M22" t="str">
            <v>The increase in construction cost is projected to be 10% to 12% over a comparable building built
to the current energy code.</v>
          </cell>
          <cell r="N22">
            <v>82160.415384615306</v>
          </cell>
          <cell r="O22">
            <v>23.288099598813861</v>
          </cell>
          <cell r="P22">
            <v>0.12370575672219843</v>
          </cell>
          <cell r="Q22">
            <v>81309</v>
          </cell>
          <cell r="R22">
            <v>0.12242381353890629</v>
          </cell>
          <cell r="S22">
            <v>851.41538461530581</v>
          </cell>
          <cell r="T22">
            <v>0.2749970829359647</v>
          </cell>
          <cell r="U22">
            <v>1.4607770847357314E-3</v>
          </cell>
          <cell r="V22">
            <v>8000</v>
          </cell>
          <cell r="Y22">
            <v>70560</v>
          </cell>
          <cell r="Z22">
            <v>6400</v>
          </cell>
          <cell r="AG22" t="str">
            <v>ASHP</v>
          </cell>
          <cell r="AH22" t="str">
            <v>ERV</v>
          </cell>
          <cell r="AI22" t="str">
            <v>On Site</v>
          </cell>
          <cell r="AJ22" t="str">
            <v>R-45 for exterior wall, R-60 for roof
Triple pane windows</v>
          </cell>
          <cell r="AK22" t="str">
            <v xml:space="preserve">ASHP w/ CO2 </v>
          </cell>
          <cell r="AL22">
            <v>135042</v>
          </cell>
          <cell r="AM22" t="str">
            <v>Onsite Solar electric (PV) Owned</v>
          </cell>
          <cell r="AO22">
            <v>3528</v>
          </cell>
          <cell r="AP22">
            <v>3528</v>
          </cell>
          <cell r="AQ22">
            <v>1</v>
          </cell>
          <cell r="AR22">
            <v>3</v>
          </cell>
          <cell r="AS22">
            <v>4</v>
          </cell>
          <cell r="AT22" t="str">
            <v>ERI</v>
          </cell>
          <cell r="AU22" t="str">
            <v>Southern Tier</v>
          </cell>
          <cell r="AV22" t="str">
            <v>All Electric</v>
          </cell>
          <cell r="AW22" t="str">
            <v>Market Rate</v>
          </cell>
          <cell r="AX22" t="str">
            <v>Yes</v>
          </cell>
          <cell r="AY22" t="str">
            <v>Wood Frame</v>
          </cell>
          <cell r="AZ22" t="str">
            <v>Multisplit - ASHP</v>
          </cell>
          <cell r="BA22" t="str">
            <v>ERV</v>
          </cell>
          <cell r="BB22" t="str">
            <v xml:space="preserve">ASHP w/ CO2 </v>
          </cell>
          <cell r="BC22" t="str">
            <v>Yes</v>
          </cell>
          <cell r="BD22" t="str">
            <v>Low Rise</v>
          </cell>
          <cell r="BE22" t="str">
            <v>PV</v>
          </cell>
          <cell r="BF22" t="str">
            <v>No</v>
          </cell>
          <cell r="BG22" t="str">
            <v>No</v>
          </cell>
          <cell r="BH22" t="str">
            <v>No</v>
          </cell>
          <cell r="BI22" t="str">
            <v>No</v>
          </cell>
          <cell r="BJ22">
            <v>6</v>
          </cell>
          <cell r="BK22" t="str">
            <v>No</v>
          </cell>
          <cell r="BL22" t="str">
            <v>NC</v>
          </cell>
          <cell r="BM22" t="str">
            <v>2016 ECCC of NYS</v>
          </cell>
          <cell r="BN22" t="str">
            <v>Net Zero Energy</v>
          </cell>
          <cell r="BP22">
            <v>882</v>
          </cell>
          <cell r="BQ22" t="str">
            <v>No</v>
          </cell>
          <cell r="BR22" t="str">
            <v>?</v>
          </cell>
          <cell r="BS22" t="str">
            <v>No</v>
          </cell>
          <cell r="BT22" t="str">
            <v>-</v>
          </cell>
          <cell r="BW22" t="str">
            <v>-</v>
          </cell>
          <cell r="BX22">
            <v>135042</v>
          </cell>
          <cell r="BY22">
            <v>0</v>
          </cell>
          <cell r="BZ22">
            <v>1</v>
          </cell>
          <cell r="CA22" t="str">
            <v>-</v>
          </cell>
          <cell r="CB22">
            <v>1862.52</v>
          </cell>
          <cell r="CF22">
            <v>0.52792517006802719</v>
          </cell>
          <cell r="CG22">
            <v>0</v>
          </cell>
          <cell r="CH22" t="str">
            <v>M1</v>
          </cell>
          <cell r="CJ22">
            <v>30000</v>
          </cell>
          <cell r="CK22">
            <v>64925.8</v>
          </cell>
          <cell r="CL22">
            <v>12400</v>
          </cell>
          <cell r="CM22">
            <v>21000</v>
          </cell>
          <cell r="CN22">
            <v>34600</v>
          </cell>
          <cell r="CO22">
            <v>750</v>
          </cell>
          <cell r="CP22">
            <v>0</v>
          </cell>
          <cell r="CQ22">
            <v>0</v>
          </cell>
          <cell r="CR22">
            <v>0</v>
          </cell>
          <cell r="CS22">
            <v>500484.2</v>
          </cell>
          <cell r="CT22">
            <v>664160</v>
          </cell>
          <cell r="CU22">
            <v>-6400</v>
          </cell>
          <cell r="CV22">
            <v>0</v>
          </cell>
          <cell r="CW22">
            <v>0</v>
          </cell>
          <cell r="CX22">
            <v>0</v>
          </cell>
          <cell r="CY22">
            <v>0</v>
          </cell>
          <cell r="CZ22">
            <v>0</v>
          </cell>
          <cell r="DA22">
            <v>0</v>
          </cell>
          <cell r="DB22">
            <v>-6400</v>
          </cell>
          <cell r="DC22">
            <v>-59976</v>
          </cell>
          <cell r="DD22">
            <v>-7500</v>
          </cell>
          <cell r="DE22">
            <v>-7433</v>
          </cell>
          <cell r="DF22">
            <v>0</v>
          </cell>
          <cell r="DG22">
            <v>0</v>
          </cell>
          <cell r="DH22">
            <v>0</v>
          </cell>
          <cell r="DI22">
            <v>-14933</v>
          </cell>
          <cell r="DJ22">
            <v>582851</v>
          </cell>
          <cell r="DK22">
            <v>8.5034013605442169</v>
          </cell>
          <cell r="DL22">
            <v>18.403004535147392</v>
          </cell>
          <cell r="DM22">
            <v>0.22215310792197984</v>
          </cell>
          <cell r="DN22">
            <v>16.107209587011145</v>
          </cell>
          <cell r="DO22">
            <v>0.25621658447001672</v>
          </cell>
          <cell r="DP22">
            <v>0.48078227514402927</v>
          </cell>
          <cell r="DQ22">
            <v>0.46206592756654519</v>
          </cell>
          <cell r="DR22">
            <v>0.13950220553795054</v>
          </cell>
          <cell r="DS22">
            <v>188.25396825396825</v>
          </cell>
          <cell r="DT22">
            <v>165.20719954648527</v>
          </cell>
          <cell r="DU22">
            <v>163675.79999999999</v>
          </cell>
          <cell r="DV22">
            <v>0.24644031558660562</v>
          </cell>
          <cell r="DW22">
            <v>17200</v>
          </cell>
          <cell r="DX22">
            <v>37815.384615384617</v>
          </cell>
          <cell r="DY22">
            <v>7900</v>
          </cell>
          <cell r="DZ22">
            <v>18600</v>
          </cell>
          <cell r="EA22">
            <v>0</v>
          </cell>
          <cell r="EB22">
            <v>0</v>
          </cell>
          <cell r="EC22">
            <v>0</v>
          </cell>
          <cell r="ED22">
            <v>0</v>
          </cell>
          <cell r="EE22">
            <v>0</v>
          </cell>
          <cell r="EF22">
            <v>500484.2</v>
          </cell>
          <cell r="EG22">
            <v>581999.58461538469</v>
          </cell>
          <cell r="EK22">
            <v>581999.58461538469</v>
          </cell>
          <cell r="EL22">
            <v>4.8752834467120181</v>
          </cell>
          <cell r="EP22">
            <v>0.45484133441822616</v>
          </cell>
          <cell r="EQ22">
            <v>0</v>
          </cell>
          <cell r="ER22">
            <v>164.9658686551544</v>
          </cell>
          <cell r="ES22">
            <v>164.9658686551544</v>
          </cell>
          <cell r="ET22">
            <v>81515.384615384624</v>
          </cell>
          <cell r="EU22">
            <v>0.14006089827238311</v>
          </cell>
          <cell r="EV22">
            <v>12800</v>
          </cell>
          <cell r="EW22">
            <v>27110.415384615386</v>
          </cell>
          <cell r="EX22">
            <v>4500</v>
          </cell>
          <cell r="EY22">
            <v>2400</v>
          </cell>
          <cell r="EZ22">
            <v>34600</v>
          </cell>
          <cell r="FA22">
            <v>750</v>
          </cell>
          <cell r="FB22">
            <v>0</v>
          </cell>
          <cell r="FC22">
            <v>0</v>
          </cell>
          <cell r="FD22">
            <v>0</v>
          </cell>
          <cell r="FE22">
            <v>0</v>
          </cell>
          <cell r="FF22">
            <v>82160.415384615306</v>
          </cell>
          <cell r="FG22">
            <v>-6400</v>
          </cell>
          <cell r="FH22">
            <v>-59976</v>
          </cell>
          <cell r="FI22">
            <v>-14933</v>
          </cell>
          <cell r="FJ22">
            <v>851.41538461530581</v>
          </cell>
          <cell r="FK22" t="str">
            <v>Upstate</v>
          </cell>
          <cell r="FL22" t="str">
            <v>NYSEG</v>
          </cell>
          <cell r="FM22" t="str">
            <v>N/A</v>
          </cell>
          <cell r="FN22">
            <v>0.12370575672219843</v>
          </cell>
          <cell r="FO22">
            <v>1.4607770847357314E-3</v>
          </cell>
        </row>
        <row r="23">
          <cell r="C23" t="str">
            <v xml:space="preserve">515 East 86th Street </v>
          </cell>
          <cell r="D23">
            <v>187356</v>
          </cell>
          <cell r="E23" t="str">
            <v>JBS Project Management</v>
          </cell>
          <cell r="G23" t="str">
            <v>Hall, Brandon &lt;BDHall@chacompanies.com&gt;</v>
          </cell>
          <cell r="H23" t="str">
            <v>YES</v>
          </cell>
          <cell r="I23" t="str">
            <v>Milestone 3</v>
          </cell>
          <cell r="J23" t="str">
            <v>Completed within 3 years</v>
          </cell>
          <cell r="K23">
            <v>56860269.412500001</v>
          </cell>
          <cell r="L23">
            <v>407.85778421154566</v>
          </cell>
          <cell r="M23" t="str">
            <v>On a hard cost
basis alone, implementing the Passive House design standard translates into a 1.1% cost premium. On a
combined soft &amp; hard cost basis, the PH cost premium is approximately 0.8%.</v>
          </cell>
          <cell r="N23">
            <v>188271.41250000149</v>
          </cell>
          <cell r="O23">
            <v>1.3504677681978703</v>
          </cell>
          <cell r="P23">
            <v>3.3111241723841082E-3</v>
          </cell>
          <cell r="Q23">
            <v>524617.80000000005</v>
          </cell>
          <cell r="R23">
            <v>9.2264388723538055E-3</v>
          </cell>
          <cell r="S23">
            <v>-336346.38749999856</v>
          </cell>
          <cell r="T23">
            <v>-2.4350742097898741</v>
          </cell>
          <cell r="U23">
            <v>-5.9704002327606968E-3</v>
          </cell>
          <cell r="V23">
            <v>0</v>
          </cell>
          <cell r="Y23">
            <v>500000</v>
          </cell>
          <cell r="Z23">
            <v>52500</v>
          </cell>
          <cell r="AD23">
            <v>60447.3</v>
          </cell>
          <cell r="AG23" t="str">
            <v>VRF - ASHP</v>
          </cell>
          <cell r="AH23" t="str">
            <v>ERV</v>
          </cell>
          <cell r="AI23" t="str">
            <v>On Site</v>
          </cell>
          <cell r="AJ23" t="str">
            <v xml:space="preserve"> ACC block and poured concrete with a combination of exterior EIFs and exterior and interior mineral wool result in R-25 to R-30 walls. The roof, below grade walls, and below grade slab are also insulated continuously, High density thermal break materials were used for all penetrations of the exterior insulation such as canopy connections, mechanical supports, and railings. Finally, the over 60 poured concrete balconies are thermally broken with rebar enforced structural thermal break material.
Triple pane windows</v>
          </cell>
          <cell r="AK23" t="str">
            <v>Central condensing natural gas-boiler</v>
          </cell>
          <cell r="AL23" t="str">
            <v>-</v>
          </cell>
          <cell r="AM23" t="str">
            <v>-</v>
          </cell>
          <cell r="AN23" t="str">
            <v>Condensing clothes dryer,IAQ, CO2 monitoring</v>
          </cell>
          <cell r="AO23">
            <v>139412</v>
          </cell>
          <cell r="AP23">
            <v>137000</v>
          </cell>
          <cell r="AQ23">
            <v>1</v>
          </cell>
          <cell r="AR23">
            <v>22</v>
          </cell>
          <cell r="AS23">
            <v>140</v>
          </cell>
          <cell r="AT23" t="str">
            <v>PHI</v>
          </cell>
          <cell r="AU23" t="str">
            <v>NYC</v>
          </cell>
          <cell r="AV23" t="str">
            <v>Fossil Fuels</v>
          </cell>
          <cell r="AW23" t="str">
            <v>Market Rate</v>
          </cell>
          <cell r="AX23" t="str">
            <v>Yes</v>
          </cell>
          <cell r="AY23" t="str">
            <v>Block and Plank</v>
          </cell>
          <cell r="AZ23" t="str">
            <v>VRF - ASHP</v>
          </cell>
          <cell r="BA23" t="str">
            <v>ERV</v>
          </cell>
          <cell r="BB23" t="str">
            <v>Fossil Fuel</v>
          </cell>
          <cell r="BC23" t="str">
            <v>Yes</v>
          </cell>
          <cell r="BD23" t="str">
            <v>Mid Rise</v>
          </cell>
          <cell r="BE23" t="str">
            <v>No use of PV</v>
          </cell>
          <cell r="BF23" t="str">
            <v>No</v>
          </cell>
          <cell r="BG23" t="str">
            <v>No</v>
          </cell>
          <cell r="BH23" t="str">
            <v>No</v>
          </cell>
          <cell r="BI23" t="str">
            <v>No</v>
          </cell>
          <cell r="BJ23">
            <v>4</v>
          </cell>
          <cell r="BK23" t="str">
            <v>Yes</v>
          </cell>
          <cell r="BL23" t="str">
            <v>NC</v>
          </cell>
          <cell r="BM23" t="str">
            <v>2016 ECCC of NYS</v>
          </cell>
          <cell r="BN23" t="str">
            <v>Requires Grid Power</v>
          </cell>
          <cell r="BP23">
            <v>978.57142857142856</v>
          </cell>
          <cell r="BQ23" t="str">
            <v>No</v>
          </cell>
          <cell r="BR23" t="str">
            <v>No</v>
          </cell>
          <cell r="BS23" t="str">
            <v>Yes</v>
          </cell>
          <cell r="BW23" t="str">
            <v>-</v>
          </cell>
          <cell r="BX23">
            <v>3897065</v>
          </cell>
          <cell r="BY23">
            <v>3897065</v>
          </cell>
          <cell r="BZ23">
            <v>0</v>
          </cell>
          <cell r="CA23" t="str">
            <v>-</v>
          </cell>
          <cell r="CB23">
            <v>72696.42</v>
          </cell>
          <cell r="CF23">
            <v>0.53063080291970799</v>
          </cell>
          <cell r="CG23">
            <v>27.953583622643674</v>
          </cell>
          <cell r="CH23" t="str">
            <v>M3</v>
          </cell>
          <cell r="CJ23">
            <v>3168000</v>
          </cell>
          <cell r="CK23">
            <v>16052777</v>
          </cell>
          <cell r="CL23">
            <v>307000</v>
          </cell>
          <cell r="CM23">
            <v>788116</v>
          </cell>
          <cell r="CN23">
            <v>3072683</v>
          </cell>
          <cell r="CO23">
            <v>553272</v>
          </cell>
          <cell r="CP23">
            <v>0</v>
          </cell>
          <cell r="CQ23">
            <v>0</v>
          </cell>
          <cell r="CR23">
            <v>7001039.7062499998</v>
          </cell>
          <cell r="CS23">
            <v>25917381.706250001</v>
          </cell>
          <cell r="CT23">
            <v>56860269.412500001</v>
          </cell>
          <cell r="CU23">
            <v>-52500</v>
          </cell>
          <cell r="CV23">
            <v>0</v>
          </cell>
          <cell r="CW23">
            <v>-47117.8</v>
          </cell>
          <cell r="CX23">
            <v>0</v>
          </cell>
          <cell r="CY23">
            <v>0</v>
          </cell>
          <cell r="CZ23">
            <v>0</v>
          </cell>
          <cell r="DA23">
            <v>0</v>
          </cell>
          <cell r="DB23">
            <v>-99617.8</v>
          </cell>
          <cell r="DC23">
            <v>-425000</v>
          </cell>
          <cell r="DD23">
            <v>0</v>
          </cell>
          <cell r="DE23">
            <v>0</v>
          </cell>
          <cell r="DF23">
            <v>0</v>
          </cell>
          <cell r="DG23">
            <v>0</v>
          </cell>
          <cell r="DH23">
            <v>0</v>
          </cell>
          <cell r="DI23">
            <v>0</v>
          </cell>
          <cell r="DJ23">
            <v>56335651.612500004</v>
          </cell>
          <cell r="DK23">
            <v>22.724012280148049</v>
          </cell>
          <cell r="DL23">
            <v>115.14630734800447</v>
          </cell>
          <cell r="DM23">
            <v>0.81291946631631751</v>
          </cell>
          <cell r="DN23">
            <v>43.578487083683079</v>
          </cell>
          <cell r="DO23" t="e">
            <v>#DIV/0!</v>
          </cell>
          <cell r="DP23">
            <v>4.1191966261789323</v>
          </cell>
          <cell r="DQ23">
            <v>0.19734903188401609</v>
          </cell>
          <cell r="DR23">
            <v>9.3123587814078375E-3</v>
          </cell>
          <cell r="DS23">
            <v>407.85778421154566</v>
          </cell>
          <cell r="DT23">
            <v>404.09470929690417</v>
          </cell>
          <cell r="DU23">
            <v>30942887.706250001</v>
          </cell>
          <cell r="DV23">
            <v>0.54419171815333689</v>
          </cell>
          <cell r="DW23">
            <v>3868000</v>
          </cell>
          <cell r="DX23">
            <v>15242777</v>
          </cell>
          <cell r="DY23">
            <v>307000</v>
          </cell>
          <cell r="DZ23">
            <v>788116</v>
          </cell>
          <cell r="EA23">
            <v>3072683</v>
          </cell>
          <cell r="EB23">
            <v>475000</v>
          </cell>
          <cell r="EE23">
            <v>7001040</v>
          </cell>
          <cell r="EF23">
            <v>25917382</v>
          </cell>
          <cell r="EG23">
            <v>56671998</v>
          </cell>
          <cell r="EH23">
            <v>0</v>
          </cell>
          <cell r="EI23">
            <v>0</v>
          </cell>
          <cell r="EJ23">
            <v>0</v>
          </cell>
          <cell r="EK23">
            <v>56671998</v>
          </cell>
          <cell r="EL23">
            <v>27.745100852150461</v>
          </cell>
          <cell r="EP23">
            <v>0.25375953476194002</v>
          </cell>
          <cell r="EQ23">
            <v>0</v>
          </cell>
          <cell r="ER23">
            <v>406.50731644334775</v>
          </cell>
          <cell r="ES23">
            <v>406.50731644334775</v>
          </cell>
          <cell r="ET23">
            <v>30754616</v>
          </cell>
          <cell r="EU23">
            <v>0.54267746127461391</v>
          </cell>
          <cell r="EV23">
            <v>-700000</v>
          </cell>
          <cell r="EW23">
            <v>810000</v>
          </cell>
          <cell r="EX23">
            <v>0</v>
          </cell>
          <cell r="EY23">
            <v>0</v>
          </cell>
          <cell r="EZ23">
            <v>0</v>
          </cell>
          <cell r="FA23">
            <v>78272</v>
          </cell>
          <cell r="FB23">
            <v>0</v>
          </cell>
          <cell r="FC23">
            <v>0</v>
          </cell>
          <cell r="FD23">
            <v>-0.29375000018626451</v>
          </cell>
          <cell r="FE23">
            <v>-0.29374999925494194</v>
          </cell>
          <cell r="FF23">
            <v>188271.41250000149</v>
          </cell>
          <cell r="FG23">
            <v>-99617.8</v>
          </cell>
          <cell r="FH23">
            <v>-425000</v>
          </cell>
          <cell r="FI23">
            <v>0</v>
          </cell>
          <cell r="FJ23">
            <v>-336346.38749999553</v>
          </cell>
          <cell r="FK23" t="str">
            <v>Downstate</v>
          </cell>
          <cell r="FL23" t="str">
            <v>ConEd</v>
          </cell>
          <cell r="FM23" t="str">
            <v>ConEd</v>
          </cell>
          <cell r="FN23">
            <v>3.3111241723841082E-3</v>
          </cell>
          <cell r="FO23">
            <v>-5.9704002327606968E-3</v>
          </cell>
        </row>
        <row r="24">
          <cell r="C24" t="str">
            <v>La Central Building C</v>
          </cell>
          <cell r="D24">
            <v>188732</v>
          </cell>
          <cell r="E24" t="str">
            <v>The Hudson Companies - Correct name: Hudson Hub II LLC</v>
          </cell>
          <cell r="G24" t="str">
            <v>akaplan@hudsoninc.com</v>
          </cell>
          <cell r="H24" t="str">
            <v>Sent</v>
          </cell>
          <cell r="I24" t="str">
            <v>Proposal</v>
          </cell>
          <cell r="J24" t="str">
            <v>Early Design</v>
          </cell>
          <cell r="K24">
            <v>86149665.280000001</v>
          </cell>
          <cell r="L24">
            <v>516.76053337812141</v>
          </cell>
          <cell r="M24" t="str">
            <v>Ownership believes that designing to Passive House Plus standards will carry an initial hard cost premium of an anticipated 3-5%, but that ultimately the building will not require as the same level of building system upgrades as a code building might require due to the superior construction.</v>
          </cell>
          <cell r="N24">
            <v>4307483.2640000004</v>
          </cell>
          <cell r="O24">
            <v>25.838026668906075</v>
          </cell>
          <cell r="P24">
            <v>0.05</v>
          </cell>
          <cell r="Q24">
            <v>1300000</v>
          </cell>
          <cell r="R24">
            <v>1.5090018002679348E-2</v>
          </cell>
          <cell r="S24">
            <v>3007483.2640000004</v>
          </cell>
          <cell r="T24">
            <v>18.040100917156039</v>
          </cell>
          <cell r="U24">
            <v>3.4909981997320656E-2</v>
          </cell>
          <cell r="V24">
            <v>0</v>
          </cell>
          <cell r="Y24">
            <v>1000000</v>
          </cell>
          <cell r="Z24">
            <v>300000</v>
          </cell>
          <cell r="AG24" t="str">
            <v>VRF - ASHP</v>
          </cell>
          <cell r="AH24" t="str">
            <v>ERV</v>
          </cell>
          <cell r="AI24" t="str">
            <v>On Site</v>
          </cell>
          <cell r="AJ24" t="str">
            <v>Cast in place concrete superstructure with steel stud back up walls and a brick exterior façade. The wall assembly will utilize 3” of continuous exterior mineral wool insulation, and 5” of mineral wool in the stud cavity to achieve an effective R-20.  Thermally broken or stand-off shelf angles will be utilized to minimize thermal bridging at the slab edges.
Triple Pane Windows</v>
          </cell>
          <cell r="AK24" t="str">
            <v>ASHP</v>
          </cell>
          <cell r="AL24">
            <v>1465877</v>
          </cell>
          <cell r="AM24" t="str">
            <v>Onsite Solar electric (PV) Owned</v>
          </cell>
          <cell r="AN24" t="str">
            <v>Induction Cooktop</v>
          </cell>
          <cell r="AO24">
            <v>166711</v>
          </cell>
          <cell r="AP24">
            <v>159076</v>
          </cell>
          <cell r="AQ24">
            <v>1</v>
          </cell>
          <cell r="AR24">
            <v>13</v>
          </cell>
          <cell r="AS24">
            <v>168</v>
          </cell>
          <cell r="AT24" t="str">
            <v>PHI</v>
          </cell>
          <cell r="AU24" t="str">
            <v>NYC</v>
          </cell>
          <cell r="AV24" t="str">
            <v>All Electric</v>
          </cell>
          <cell r="AW24" t="str">
            <v>LMI</v>
          </cell>
          <cell r="AX24" t="str">
            <v>Yes</v>
          </cell>
          <cell r="AY24" t="str">
            <v>Cast in Place Concrete</v>
          </cell>
          <cell r="AZ24" t="str">
            <v>VRF - ASHP</v>
          </cell>
          <cell r="BA24" t="str">
            <v>ERV</v>
          </cell>
          <cell r="BB24" t="str">
            <v>ASHP</v>
          </cell>
          <cell r="BC24" t="str">
            <v>Yes</v>
          </cell>
          <cell r="BD24" t="str">
            <v>Mid Rise</v>
          </cell>
          <cell r="BE24" t="str">
            <v>PV</v>
          </cell>
          <cell r="BF24" t="str">
            <v>No</v>
          </cell>
          <cell r="BG24" t="str">
            <v>No</v>
          </cell>
          <cell r="BH24" t="str">
            <v>No</v>
          </cell>
          <cell r="BI24" t="str">
            <v>No</v>
          </cell>
          <cell r="BJ24">
            <v>4</v>
          </cell>
          <cell r="BK24" t="str">
            <v>No</v>
          </cell>
          <cell r="BL24" t="str">
            <v>NC</v>
          </cell>
          <cell r="BM24" t="str">
            <v>2016 ECCC of NYS</v>
          </cell>
          <cell r="BN24" t="str">
            <v>Requires Grid Power</v>
          </cell>
          <cell r="BP24">
            <v>946.88095238095241</v>
          </cell>
          <cell r="BQ24" t="str">
            <v>Yes</v>
          </cell>
          <cell r="BR24" t="str">
            <v>?</v>
          </cell>
          <cell r="BS24" t="str">
            <v>Yes</v>
          </cell>
          <cell r="BT24" t="str">
            <v>-</v>
          </cell>
          <cell r="BW24" t="str">
            <v>-</v>
          </cell>
          <cell r="BX24">
            <v>6241173</v>
          </cell>
          <cell r="BY24">
            <v>4775296</v>
          </cell>
          <cell r="BZ24">
            <v>0.23487203447172511</v>
          </cell>
          <cell r="CA24" t="str">
            <v>-</v>
          </cell>
          <cell r="CB24">
            <v>65284.1</v>
          </cell>
          <cell r="CF24">
            <v>0.41039565993613114</v>
          </cell>
          <cell r="CG24">
            <v>28.644156654329947</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t="e">
            <v>#DIV/0!</v>
          </cell>
          <cell r="DR24" t="e">
            <v>#DIV/0!</v>
          </cell>
          <cell r="DS24">
            <v>0</v>
          </cell>
          <cell r="DT24">
            <v>0</v>
          </cell>
          <cell r="DU24">
            <v>0</v>
          </cell>
          <cell r="DV24" t="e">
            <v>#DIV/0!</v>
          </cell>
          <cell r="EL24">
            <v>0</v>
          </cell>
          <cell r="EP24" t="e">
            <v>#DIV/0!</v>
          </cell>
          <cell r="EQ24" t="e">
            <v>#DIV/0!</v>
          </cell>
          <cell r="ER24">
            <v>0</v>
          </cell>
          <cell r="ES24">
            <v>0</v>
          </cell>
          <cell r="ET24">
            <v>0</v>
          </cell>
          <cell r="EU24" t="e">
            <v>#DIV/0!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t="str">
            <v>Downstate</v>
          </cell>
          <cell r="FL24" t="str">
            <v>ConEd</v>
          </cell>
          <cell r="FM24" t="str">
            <v>ConEd</v>
          </cell>
          <cell r="FN24" t="e">
            <v>#DIV/0!</v>
          </cell>
          <cell r="FO24" t="e">
            <v>#DIV/0!</v>
          </cell>
        </row>
        <row r="25">
          <cell r="C25" t="str">
            <v>Engine 16</v>
          </cell>
          <cell r="D25">
            <v>187933</v>
          </cell>
          <cell r="E25" t="str">
            <v>Bat Ingui Architects</v>
          </cell>
          <cell r="H25" t="str">
            <v>Sent</v>
          </cell>
          <cell r="I25" t="str">
            <v>Milestone 1</v>
          </cell>
          <cell r="J25" t="str">
            <v>Late Design</v>
          </cell>
          <cell r="K25">
            <v>10883992.34</v>
          </cell>
          <cell r="L25">
            <v>828.68831582153189</v>
          </cell>
          <cell r="M25" t="str">
            <v>The goal for Passive House projects is to create a cost neutral initial cost and to secure reduced operating
costs for the lifetime of the building. This becomes easier to achieve as the size of the building increases.
As compared to standard code-compliant buildings, the mechanical systems in a Passive House, especially in
a multifamily, can be simplified and more cost-effective.</v>
          </cell>
          <cell r="N25">
            <v>2032912.3399999999</v>
          </cell>
          <cell r="O25">
            <v>154.78242271965888</v>
          </cell>
          <cell r="P25">
            <v>0.18678002303702465</v>
          </cell>
          <cell r="Q25">
            <v>192946.5</v>
          </cell>
          <cell r="R25">
            <v>1.7727548308803753E-2</v>
          </cell>
          <cell r="S25">
            <v>1839965.8399999999</v>
          </cell>
          <cell r="T25">
            <v>83.268537786434891</v>
          </cell>
          <cell r="U25">
            <v>0.10048233599611628</v>
          </cell>
          <cell r="V25">
            <v>0</v>
          </cell>
          <cell r="Y25">
            <v>197010</v>
          </cell>
          <cell r="Z25">
            <v>6400</v>
          </cell>
          <cell r="AG25" t="str">
            <v>ASHP</v>
          </cell>
          <cell r="AH25" t="str">
            <v>ERV</v>
          </cell>
          <cell r="AI25" t="str">
            <v>On Site</v>
          </cell>
          <cell r="AJ25" t="str">
            <v>Applied insulation to existing walls
Triple pane windows</v>
          </cell>
          <cell r="AK25" t="str">
            <v>ASHP</v>
          </cell>
          <cell r="AL25">
            <v>64380</v>
          </cell>
          <cell r="AM25" t="str">
            <v>Onsite Solar electric (PV) Owned</v>
          </cell>
          <cell r="AN25" t="str">
            <v xml:space="preserve"> Induction cooktop, smart buildings controls</v>
          </cell>
          <cell r="AO25">
            <v>13134</v>
          </cell>
          <cell r="AP25">
            <v>10450</v>
          </cell>
          <cell r="AQ25">
            <v>1</v>
          </cell>
          <cell r="AR25">
            <v>5</v>
          </cell>
          <cell r="AS25">
            <v>4</v>
          </cell>
          <cell r="AT25" t="str">
            <v>PHI</v>
          </cell>
          <cell r="AU25" t="str">
            <v>NYC</v>
          </cell>
          <cell r="AV25" t="str">
            <v>All Electric</v>
          </cell>
          <cell r="AW25" t="str">
            <v>Market Rate</v>
          </cell>
          <cell r="AX25" t="str">
            <v>Yes</v>
          </cell>
          <cell r="AY25" t="str">
            <v>Gut Rehab</v>
          </cell>
          <cell r="AZ25" t="str">
            <v>VRF - ASHP</v>
          </cell>
          <cell r="BA25" t="str">
            <v>ERV</v>
          </cell>
          <cell r="BB25" t="str">
            <v>ASHP</v>
          </cell>
          <cell r="BC25" t="str">
            <v>Yes</v>
          </cell>
          <cell r="BD25" t="str">
            <v>Mid Rise</v>
          </cell>
          <cell r="BE25" t="str">
            <v>PV</v>
          </cell>
          <cell r="BF25" t="str">
            <v>No</v>
          </cell>
          <cell r="BG25" t="str">
            <v>No</v>
          </cell>
          <cell r="BH25" t="str">
            <v>No</v>
          </cell>
          <cell r="BI25" t="str">
            <v>No</v>
          </cell>
          <cell r="BJ25">
            <v>4</v>
          </cell>
          <cell r="BK25" t="str">
            <v>No</v>
          </cell>
          <cell r="BL25" t="str">
            <v>GR</v>
          </cell>
          <cell r="BM25" t="str">
            <v>2016 ECCC of NYS</v>
          </cell>
          <cell r="BN25" t="str">
            <v>Requires Grid Power</v>
          </cell>
          <cell r="BP25">
            <v>2612.5</v>
          </cell>
          <cell r="BQ25" t="str">
            <v>No</v>
          </cell>
          <cell r="BR25" t="str">
            <v>?</v>
          </cell>
          <cell r="BS25" t="str">
            <v>Yes</v>
          </cell>
          <cell r="BT25" t="str">
            <v>-</v>
          </cell>
          <cell r="BW25" t="str">
            <v>-</v>
          </cell>
          <cell r="BX25">
            <v>316383</v>
          </cell>
          <cell r="BY25">
            <v>252002</v>
          </cell>
          <cell r="BZ25">
            <v>0.20349070588495588</v>
          </cell>
          <cell r="CA25" t="str">
            <v>-</v>
          </cell>
          <cell r="CB25">
            <v>16949</v>
          </cell>
          <cell r="CF25">
            <v>1.6219138755980862</v>
          </cell>
          <cell r="CG25">
            <v>19.186995583980508</v>
          </cell>
          <cell r="CH25" t="str">
            <v>M2</v>
          </cell>
          <cell r="CJ25">
            <v>245125</v>
          </cell>
          <cell r="CK25">
            <v>2859020.71</v>
          </cell>
          <cell r="CL25">
            <v>153472</v>
          </cell>
          <cell r="CM25">
            <v>69500</v>
          </cell>
          <cell r="CN25">
            <v>39415</v>
          </cell>
          <cell r="CO25">
            <v>41750</v>
          </cell>
          <cell r="CP25">
            <v>0</v>
          </cell>
          <cell r="CQ25">
            <v>0</v>
          </cell>
          <cell r="CR25">
            <v>423479.42</v>
          </cell>
          <cell r="CS25">
            <v>7052230.21</v>
          </cell>
          <cell r="CT25">
            <v>10883992.34</v>
          </cell>
          <cell r="CU25">
            <v>-6400</v>
          </cell>
          <cell r="CV25">
            <v>0</v>
          </cell>
          <cell r="CW25">
            <v>0</v>
          </cell>
          <cell r="CX25">
            <v>0</v>
          </cell>
          <cell r="CY25">
            <v>0</v>
          </cell>
          <cell r="CZ25">
            <v>0</v>
          </cell>
          <cell r="DA25">
            <v>0</v>
          </cell>
          <cell r="DB25">
            <v>-6400</v>
          </cell>
          <cell r="DC25">
            <v>-167458.5</v>
          </cell>
          <cell r="DD25">
            <v>0</v>
          </cell>
          <cell r="DE25">
            <v>-19088</v>
          </cell>
          <cell r="DF25">
            <v>0</v>
          </cell>
          <cell r="DG25">
            <v>0</v>
          </cell>
          <cell r="DH25">
            <v>0</v>
          </cell>
          <cell r="DI25">
            <v>-19088</v>
          </cell>
          <cell r="DJ25">
            <v>9839806.7699999996</v>
          </cell>
          <cell r="DK25">
            <v>18.663392721181665</v>
          </cell>
          <cell r="DL25">
            <v>217.68088244251561</v>
          </cell>
          <cell r="DM25">
            <v>0.77477298084916069</v>
          </cell>
          <cell r="DN25">
            <v>14.462505162546464</v>
          </cell>
          <cell r="DO25">
            <v>0.61221478386480488</v>
          </cell>
          <cell r="DP25">
            <v>9.0365813270624535</v>
          </cell>
          <cell r="DQ25">
            <v>8.5737399222966804E-2</v>
          </cell>
          <cell r="DR25">
            <v>0.10611850358520813</v>
          </cell>
          <cell r="DS25">
            <v>828.68831582153189</v>
          </cell>
          <cell r="DT25">
            <v>749.18583599817259</v>
          </cell>
          <cell r="DU25">
            <v>3831762.13</v>
          </cell>
          <cell r="DV25">
            <v>0.35205483523888625</v>
          </cell>
          <cell r="DW25">
            <v>360832</v>
          </cell>
          <cell r="DX25">
            <v>1711465</v>
          </cell>
          <cell r="DY25">
            <v>230200</v>
          </cell>
          <cell r="DZ25">
            <v>69500</v>
          </cell>
          <cell r="EA25">
            <v>0</v>
          </cell>
          <cell r="EB25">
            <v>41750</v>
          </cell>
          <cell r="EC25">
            <v>0</v>
          </cell>
          <cell r="ED25">
            <v>0</v>
          </cell>
          <cell r="EE25">
            <v>0</v>
          </cell>
          <cell r="EF25">
            <v>6437333</v>
          </cell>
          <cell r="EG25">
            <v>8851080</v>
          </cell>
          <cell r="EH25">
            <v>0</v>
          </cell>
          <cell r="EI25">
            <v>0</v>
          </cell>
          <cell r="EJ25">
            <v>0</v>
          </cell>
          <cell r="EK25">
            <v>8851080</v>
          </cell>
          <cell r="EL25">
            <v>27.473123191716155</v>
          </cell>
          <cell r="EP25">
            <v>0.21083224021525418</v>
          </cell>
          <cell r="EQ25">
            <v>0</v>
          </cell>
          <cell r="ER25">
            <v>673.90589310187295</v>
          </cell>
          <cell r="ES25">
            <v>673.90589310187295</v>
          </cell>
          <cell r="ET25">
            <v>2413747</v>
          </cell>
          <cell r="EU25">
            <v>0.27270649457467339</v>
          </cell>
          <cell r="EV25">
            <v>-115707</v>
          </cell>
          <cell r="EW25">
            <v>1147555.71</v>
          </cell>
          <cell r="EX25">
            <v>-76728</v>
          </cell>
          <cell r="EY25">
            <v>0</v>
          </cell>
          <cell r="EZ25">
            <v>39415</v>
          </cell>
          <cell r="FA25">
            <v>0</v>
          </cell>
          <cell r="FB25">
            <v>0</v>
          </cell>
          <cell r="FC25">
            <v>0</v>
          </cell>
          <cell r="FD25">
            <v>423479.42</v>
          </cell>
          <cell r="FE25">
            <v>614897.21</v>
          </cell>
          <cell r="FF25">
            <v>2032912.3399999999</v>
          </cell>
          <cell r="FG25">
            <v>-6400</v>
          </cell>
          <cell r="FH25">
            <v>-167458.5</v>
          </cell>
          <cell r="FI25">
            <v>-19088</v>
          </cell>
          <cell r="FJ25">
            <v>988726.76999999955</v>
          </cell>
          <cell r="FK25" t="str">
            <v>Downstate</v>
          </cell>
          <cell r="FL25" t="str">
            <v>ConEd</v>
          </cell>
          <cell r="FM25" t="str">
            <v>N/A</v>
          </cell>
          <cell r="FN25">
            <v>0.18678002303702465</v>
          </cell>
          <cell r="FO25">
            <v>0.10048233599611628</v>
          </cell>
        </row>
        <row r="26">
          <cell r="C26" t="str">
            <v>Zero Place</v>
          </cell>
          <cell r="D26">
            <v>186961</v>
          </cell>
          <cell r="E26" t="str">
            <v>Net-Zero Development LLC</v>
          </cell>
          <cell r="H26" t="str">
            <v>YES</v>
          </cell>
          <cell r="I26" t="str">
            <v>Milestone 2</v>
          </cell>
          <cell r="J26" t="str">
            <v>Under Construction</v>
          </cell>
          <cell r="K26">
            <v>10547313</v>
          </cell>
          <cell r="L26">
            <v>166.57158875552747</v>
          </cell>
          <cell r="M26" t="str">
            <v>$10,000 per dwelling unit (~$10/sf) incremental cost increase associated with use of the GSHP system. (vs. typical ducted gas-fired split system for heating/cooling)</v>
          </cell>
          <cell r="N26">
            <v>1683313</v>
          </cell>
          <cell r="O26">
            <v>26.584222994314594</v>
          </cell>
          <cell r="P26">
            <v>0.15959638250993405</v>
          </cell>
          <cell r="Q26">
            <v>1378440</v>
          </cell>
          <cell r="R26">
            <v>0.1306911058769186</v>
          </cell>
          <cell r="S26">
            <v>304873</v>
          </cell>
          <cell r="T26">
            <v>5.5386501676557121</v>
          </cell>
          <cell r="U26">
            <v>3.3250869545253817E-2</v>
          </cell>
          <cell r="V26">
            <v>0</v>
          </cell>
          <cell r="Y26">
            <v>750000</v>
          </cell>
          <cell r="Z26">
            <v>101500</v>
          </cell>
          <cell r="AG26" t="str">
            <v>GSHP</v>
          </cell>
          <cell r="AH26" t="str">
            <v>ERV</v>
          </cell>
          <cell r="AI26" t="str">
            <v>ICF</v>
          </cell>
          <cell r="AJ26" t="str">
            <v>ICF light gauge manufactured floor forming material with light forms
Triple pane windows</v>
          </cell>
          <cell r="AK26" t="str">
            <v>GSHP</v>
          </cell>
          <cell r="AL26">
            <v>1010475</v>
          </cell>
          <cell r="AM26" t="str">
            <v>Onsite Solar electric (PV) Owned</v>
          </cell>
          <cell r="AN26" t="str">
            <v xml:space="preserve"> Smart buildings controls
display monitors to (anonymously) share consumption
 CO2-activitated demand control ventilation
Condensing clothes dryers
 Induction cooktops
 (20) EV car charging stations 
 E-bike charging stations</v>
          </cell>
          <cell r="AO26">
            <v>63320</v>
          </cell>
          <cell r="AP26">
            <v>54860</v>
          </cell>
          <cell r="AQ26">
            <v>1</v>
          </cell>
          <cell r="AR26">
            <v>4</v>
          </cell>
          <cell r="AS26">
            <v>46</v>
          </cell>
          <cell r="AT26" t="str">
            <v>ERI</v>
          </cell>
          <cell r="AU26" t="str">
            <v>Mid Hudson</v>
          </cell>
          <cell r="AV26" t="str">
            <v>All Electric</v>
          </cell>
          <cell r="AW26" t="str">
            <v>Market Rate</v>
          </cell>
          <cell r="AX26" t="str">
            <v>Yes</v>
          </cell>
          <cell r="AY26" t="str">
            <v>ICF and Concrete Deck</v>
          </cell>
          <cell r="AZ26" t="str">
            <v>GSHP</v>
          </cell>
          <cell r="BA26" t="str">
            <v>ERV</v>
          </cell>
          <cell r="BB26" t="str">
            <v>GSHP</v>
          </cell>
          <cell r="BC26" t="str">
            <v>Yes</v>
          </cell>
          <cell r="BD26" t="str">
            <v>Mid Rise</v>
          </cell>
          <cell r="BE26" t="str">
            <v>PV</v>
          </cell>
          <cell r="BF26" t="str">
            <v>No</v>
          </cell>
          <cell r="BG26" t="str">
            <v>Yes</v>
          </cell>
          <cell r="BH26" t="str">
            <v>No</v>
          </cell>
          <cell r="BI26" t="str">
            <v>No</v>
          </cell>
          <cell r="BJ26">
            <v>5</v>
          </cell>
          <cell r="BK26" t="str">
            <v>No</v>
          </cell>
          <cell r="BL26" t="str">
            <v>NC</v>
          </cell>
          <cell r="BM26" t="str">
            <v>2016 ECCC of NYS</v>
          </cell>
          <cell r="BN26" t="str">
            <v>Net Zero Energy</v>
          </cell>
          <cell r="BP26">
            <v>1192.608695652174</v>
          </cell>
          <cell r="BQ26" t="str">
            <v>No</v>
          </cell>
          <cell r="BR26" t="str">
            <v>No</v>
          </cell>
          <cell r="BS26" t="str">
            <v>Yes</v>
          </cell>
          <cell r="BT26" t="str">
            <v>-</v>
          </cell>
          <cell r="BW26" t="str">
            <v>-</v>
          </cell>
          <cell r="BX26">
            <v>1010475</v>
          </cell>
          <cell r="BY26">
            <v>0</v>
          </cell>
          <cell r="BZ26">
            <v>1</v>
          </cell>
          <cell r="CA26" t="str">
            <v>-</v>
          </cell>
          <cell r="CB26">
            <v>-258.68</v>
          </cell>
          <cell r="CF26">
            <v>-4.7152752460809331E-3</v>
          </cell>
          <cell r="CG26">
            <v>0</v>
          </cell>
          <cell r="CH26" t="str">
            <v>M2</v>
          </cell>
          <cell r="CJ26">
            <v>1100000</v>
          </cell>
          <cell r="CK26">
            <v>1101500</v>
          </cell>
          <cell r="CL26">
            <v>50000</v>
          </cell>
          <cell r="CM26">
            <v>110630</v>
          </cell>
          <cell r="CN26">
            <v>475000</v>
          </cell>
          <cell r="CO26">
            <v>10000</v>
          </cell>
          <cell r="CP26">
            <v>215000</v>
          </cell>
          <cell r="CQ26">
            <v>45000</v>
          </cell>
          <cell r="CR26">
            <v>0</v>
          </cell>
          <cell r="CS26">
            <v>7440183</v>
          </cell>
          <cell r="CT26">
            <v>10547313</v>
          </cell>
          <cell r="CU26">
            <v>-110700</v>
          </cell>
          <cell r="CV26">
            <v>-15000</v>
          </cell>
          <cell r="CW26">
            <v>0</v>
          </cell>
          <cell r="CX26">
            <v>0</v>
          </cell>
          <cell r="CY26">
            <v>-109340</v>
          </cell>
          <cell r="CZ26">
            <v>-80000</v>
          </cell>
          <cell r="DA26">
            <v>0</v>
          </cell>
          <cell r="DB26">
            <v>-315040</v>
          </cell>
          <cell r="DC26">
            <v>-750000</v>
          </cell>
          <cell r="DD26">
            <v>0</v>
          </cell>
          <cell r="DE26">
            <v>-104000</v>
          </cell>
          <cell r="DF26">
            <v>-85000</v>
          </cell>
          <cell r="DG26">
            <v>-32400</v>
          </cell>
          <cell r="DH26">
            <v>-92000</v>
          </cell>
          <cell r="DI26">
            <v>-313400</v>
          </cell>
          <cell r="DJ26">
            <v>9168873</v>
          </cell>
          <cell r="DK26">
            <v>17.372078332280481</v>
          </cell>
          <cell r="DL26">
            <v>17.395767530006317</v>
          </cell>
          <cell r="DM26">
            <v>1.0885969469803805</v>
          </cell>
          <cell r="DN26">
            <v>-4252.3581258698005</v>
          </cell>
          <cell r="DO26">
            <v>0.47007595437789157</v>
          </cell>
          <cell r="DP26">
            <v>1.0900813973626264</v>
          </cell>
          <cell r="DQ26">
            <v>0.99863822060826146</v>
          </cell>
          <cell r="DR26">
            <v>0.15033908747563632</v>
          </cell>
          <cell r="DS26">
            <v>166.57158875552747</v>
          </cell>
          <cell r="DT26">
            <v>144.80216361339228</v>
          </cell>
          <cell r="DU26">
            <v>3107130</v>
          </cell>
          <cell r="DV26">
            <v>0.29458972157174057</v>
          </cell>
          <cell r="DW26">
            <v>876000</v>
          </cell>
          <cell r="DX26">
            <v>752000</v>
          </cell>
          <cell r="DY26">
            <v>41000</v>
          </cell>
          <cell r="DZ26">
            <v>74000</v>
          </cell>
          <cell r="EA26">
            <v>75000</v>
          </cell>
          <cell r="EB26">
            <v>32000</v>
          </cell>
          <cell r="EC26">
            <v>0</v>
          </cell>
          <cell r="ED26">
            <v>14000</v>
          </cell>
          <cell r="EE26">
            <v>0</v>
          </cell>
          <cell r="EF26">
            <v>7000000</v>
          </cell>
          <cell r="EG26">
            <v>8864000</v>
          </cell>
          <cell r="EH26">
            <v>0</v>
          </cell>
          <cell r="EI26">
            <v>0</v>
          </cell>
          <cell r="EJ26">
            <v>0</v>
          </cell>
          <cell r="EK26">
            <v>8864000</v>
          </cell>
          <cell r="EL26">
            <v>13.834491471888819</v>
          </cell>
          <cell r="EP26">
            <v>1.1648936170212767</v>
          </cell>
          <cell r="EQ26">
            <v>0</v>
          </cell>
          <cell r="ER26">
            <v>139.98736576121289</v>
          </cell>
          <cell r="ES26">
            <v>139.98736576121289</v>
          </cell>
          <cell r="ET26">
            <v>1864000</v>
          </cell>
          <cell r="EU26">
            <v>0.21028880866425992</v>
          </cell>
          <cell r="EV26">
            <v>224000</v>
          </cell>
          <cell r="EW26">
            <v>349500</v>
          </cell>
          <cell r="EX26">
            <v>9000</v>
          </cell>
          <cell r="EY26">
            <v>36630</v>
          </cell>
          <cell r="EZ26">
            <v>400000</v>
          </cell>
          <cell r="FA26">
            <v>-22000</v>
          </cell>
          <cell r="FB26">
            <v>215000</v>
          </cell>
          <cell r="FC26">
            <v>31000</v>
          </cell>
          <cell r="FD26">
            <v>0</v>
          </cell>
          <cell r="FE26">
            <v>440183</v>
          </cell>
          <cell r="FF26">
            <v>1683313</v>
          </cell>
          <cell r="FG26">
            <v>-315040</v>
          </cell>
          <cell r="FH26">
            <v>-750000</v>
          </cell>
          <cell r="FI26">
            <v>-313400</v>
          </cell>
          <cell r="FJ26">
            <v>304873</v>
          </cell>
          <cell r="FK26" t="str">
            <v>Upstate</v>
          </cell>
          <cell r="FL26" t="str">
            <v>CHG&amp;E</v>
          </cell>
          <cell r="FM26" t="str">
            <v>CHG&amp;E</v>
          </cell>
          <cell r="FN26">
            <v>0.15959638250993405</v>
          </cell>
          <cell r="FO26">
            <v>3.3250869545253817E-2</v>
          </cell>
        </row>
        <row r="27">
          <cell r="C27" t="str">
            <v>HELP ONE</v>
          </cell>
          <cell r="D27">
            <v>188515</v>
          </cell>
          <cell r="E27" t="str">
            <v>HELP USA</v>
          </cell>
          <cell r="F27" t="str">
            <v>Bright Power Tyler</v>
          </cell>
          <cell r="G27" t="str">
            <v xml:space="preserve">	David	Cleghorn	dcleghorn@helpusa.org</v>
          </cell>
          <cell r="H27" t="str">
            <v>Yes</v>
          </cell>
          <cell r="I27" t="str">
            <v>Milestone 2</v>
          </cell>
          <cell r="J27" t="str">
            <v>Under Construction</v>
          </cell>
          <cell r="K27">
            <v>71166118.189999998</v>
          </cell>
          <cell r="L27">
            <v>374.16269204683465</v>
          </cell>
          <cell r="M27" t="str">
            <v>Because of the economies of scale in redeveloping
this site with a higher density development
HELP ONE is being designed to include many features
that are expected to reduce total annual energy costs.
First, the building is expected to have reduced heating
and cooling costs due to high R-values of walls and
roofs. VRFs are expected to capture residual heat and
reuse it on other areas of the building that may need
heating. As opposed to PTACs, VRF systems have almost
no impact or penetration of the exterior envelope
allowing for tight air sealing and less air leakage
indicated 2-10% incremental cost on phone</v>
          </cell>
          <cell r="N27">
            <v>3577646</v>
          </cell>
          <cell r="O27">
            <v>18.809816983086314</v>
          </cell>
          <cell r="P27">
            <v>5.0271759806378165E-2</v>
          </cell>
          <cell r="Q27">
            <v>1150000</v>
          </cell>
          <cell r="R27">
            <v>1.6159375124686706E-2</v>
          </cell>
          <cell r="S27">
            <v>2427646</v>
          </cell>
          <cell r="T27">
            <v>12.973220826550509</v>
          </cell>
          <cell r="U27">
            <v>3.4672673418029147E-2</v>
          </cell>
          <cell r="V27">
            <v>0</v>
          </cell>
          <cell r="Y27">
            <v>1000000</v>
          </cell>
          <cell r="Z27">
            <v>300000</v>
          </cell>
          <cell r="AG27" t="str">
            <v>VRF - ASHP</v>
          </cell>
          <cell r="AH27" t="str">
            <v>ERV</v>
          </cell>
          <cell r="AI27" t="str">
            <v>On Site</v>
          </cell>
          <cell r="AJ27" t="str">
            <v>28 R-value for exterior wall enclosures with brick,
and 50.0 R-value insulation at the roofs.
Double pane UPVC windows with low U-values, a tightly sealed envelope</v>
          </cell>
          <cell r="AK27" t="str">
            <v>Central Condensing Boilers</v>
          </cell>
          <cell r="AL27">
            <v>387679</v>
          </cell>
          <cell r="AM27" t="str">
            <v>Onsite Solar electric (PV) Owned</v>
          </cell>
          <cell r="AO27">
            <v>190201</v>
          </cell>
          <cell r="AP27">
            <v>180141</v>
          </cell>
          <cell r="AQ27">
            <v>1</v>
          </cell>
          <cell r="AR27">
            <v>10</v>
          </cell>
          <cell r="AS27">
            <v>184</v>
          </cell>
          <cell r="AT27" t="str">
            <v>ASHRAE</v>
          </cell>
          <cell r="AU27" t="str">
            <v>NYC</v>
          </cell>
          <cell r="AV27" t="str">
            <v>Fossil Fuels</v>
          </cell>
          <cell r="AW27" t="str">
            <v>LMI</v>
          </cell>
          <cell r="AX27" t="str">
            <v>Yes</v>
          </cell>
          <cell r="AY27" t="str">
            <v>Block and Plank</v>
          </cell>
          <cell r="AZ27" t="str">
            <v>VRF - ASHP</v>
          </cell>
          <cell r="BA27" t="str">
            <v>ERV</v>
          </cell>
          <cell r="BB27" t="str">
            <v>Fossil Fuel</v>
          </cell>
          <cell r="BC27" t="str">
            <v>Yes</v>
          </cell>
          <cell r="BD27" t="str">
            <v>Mid Rise</v>
          </cell>
          <cell r="BE27" t="str">
            <v>PV</v>
          </cell>
          <cell r="BF27" t="str">
            <v>No</v>
          </cell>
          <cell r="BG27" t="str">
            <v>No</v>
          </cell>
          <cell r="BH27" t="str">
            <v>No</v>
          </cell>
          <cell r="BI27" t="str">
            <v>No</v>
          </cell>
          <cell r="BJ27">
            <v>4</v>
          </cell>
          <cell r="BK27" t="str">
            <v>No</v>
          </cell>
          <cell r="BL27" t="str">
            <v>NC</v>
          </cell>
          <cell r="BM27" t="str">
            <v>2016 ECCC of NYS</v>
          </cell>
          <cell r="BN27" t="str">
            <v>Requires Grid Power</v>
          </cell>
          <cell r="BP27">
            <v>979.0271739130435</v>
          </cell>
          <cell r="BQ27" t="str">
            <v>Yes</v>
          </cell>
          <cell r="BR27" t="str">
            <v>No</v>
          </cell>
          <cell r="BS27" t="str">
            <v>Yes</v>
          </cell>
          <cell r="BT27" t="str">
            <v>-</v>
          </cell>
          <cell r="BW27">
            <v>5480000</v>
          </cell>
          <cell r="BX27">
            <v>7353000</v>
          </cell>
          <cell r="BY27">
            <v>6965321</v>
          </cell>
          <cell r="BZ27">
            <v>5.2723922208622334E-2</v>
          </cell>
          <cell r="CA27">
            <v>568866</v>
          </cell>
          <cell r="CB27">
            <v>486270.2</v>
          </cell>
          <cell r="CF27">
            <v>2.6993865916143465</v>
          </cell>
          <cell r="CG27">
            <v>36.62084321323232</v>
          </cell>
          <cell r="CH27" t="str">
            <v>M2</v>
          </cell>
          <cell r="CJ27">
            <v>3860000</v>
          </cell>
          <cell r="CK27">
            <v>13820490</v>
          </cell>
          <cell r="CL27">
            <v>1521600</v>
          </cell>
          <cell r="CM27">
            <v>291269</v>
          </cell>
          <cell r="CN27">
            <v>263398</v>
          </cell>
          <cell r="CO27">
            <v>468693</v>
          </cell>
          <cell r="CP27">
            <v>0</v>
          </cell>
          <cell r="CQ27">
            <v>142906</v>
          </cell>
          <cell r="CR27">
            <v>0</v>
          </cell>
          <cell r="CS27">
            <v>50797762.190000005</v>
          </cell>
          <cell r="CT27">
            <v>71166118.189999998</v>
          </cell>
          <cell r="CU27">
            <v>-300000</v>
          </cell>
          <cell r="CV27">
            <v>0</v>
          </cell>
          <cell r="CW27">
            <v>0</v>
          </cell>
          <cell r="CX27">
            <v>0</v>
          </cell>
          <cell r="CY27">
            <v>0</v>
          </cell>
          <cell r="CZ27">
            <v>0</v>
          </cell>
          <cell r="DA27">
            <v>0</v>
          </cell>
          <cell r="DB27">
            <v>-300000</v>
          </cell>
          <cell r="DC27">
            <v>-850000</v>
          </cell>
          <cell r="DD27">
            <v>0</v>
          </cell>
          <cell r="DE27">
            <v>0</v>
          </cell>
          <cell r="DF27">
            <v>0</v>
          </cell>
          <cell r="DG27">
            <v>0</v>
          </cell>
          <cell r="DH27">
            <v>0</v>
          </cell>
          <cell r="DI27">
            <v>0</v>
          </cell>
          <cell r="DJ27">
            <v>70016118.189999998</v>
          </cell>
          <cell r="DK27">
            <v>20.294320219136598</v>
          </cell>
          <cell r="DL27">
            <v>72.662551721599783</v>
          </cell>
          <cell r="DM27">
            <v>0.52495580035359712</v>
          </cell>
          <cell r="DN27">
            <v>7.9379735792980934</v>
          </cell>
          <cell r="DO27">
            <v>0.67942292463610354</v>
          </cell>
          <cell r="DP27">
            <v>1.8795716034271726</v>
          </cell>
          <cell r="DQ27">
            <v>0.27929545189787047</v>
          </cell>
          <cell r="DR27">
            <v>1.6424789458897023E-2</v>
          </cell>
          <cell r="DS27">
            <v>374.16269204683465</v>
          </cell>
          <cell r="DT27">
            <v>368.11645674838724</v>
          </cell>
          <cell r="DU27">
            <v>20368356</v>
          </cell>
          <cell r="DV27">
            <v>0.28620861328448971</v>
          </cell>
          <cell r="DW27">
            <v>3222300</v>
          </cell>
          <cell r="DX27">
            <v>10900000</v>
          </cell>
          <cell r="DY27">
            <v>1521600</v>
          </cell>
          <cell r="DZ27">
            <v>291269</v>
          </cell>
          <cell r="EA27">
            <v>263398</v>
          </cell>
          <cell r="EB27">
            <v>468693</v>
          </cell>
          <cell r="EC27">
            <v>0</v>
          </cell>
          <cell r="ED27">
            <v>123450</v>
          </cell>
          <cell r="EE27">
            <v>0</v>
          </cell>
          <cell r="EF27">
            <v>50797762.190000005</v>
          </cell>
          <cell r="EG27">
            <v>67588472.189999998</v>
          </cell>
          <cell r="EH27">
            <v>0</v>
          </cell>
          <cell r="EI27">
            <v>0</v>
          </cell>
          <cell r="EJ27">
            <v>0</v>
          </cell>
          <cell r="EK27">
            <v>67588472.189999998</v>
          </cell>
          <cell r="EL27">
            <v>16.941551306249703</v>
          </cell>
          <cell r="EP27">
            <v>0.29562385321100915</v>
          </cell>
          <cell r="EQ27">
            <v>0</v>
          </cell>
          <cell r="ER27">
            <v>355.35287506374834</v>
          </cell>
          <cell r="ES27">
            <v>355.35287506374834</v>
          </cell>
          <cell r="ET27">
            <v>16790710</v>
          </cell>
          <cell r="EU27">
            <v>0.24842564798327038</v>
          </cell>
          <cell r="EV27">
            <v>637700</v>
          </cell>
          <cell r="EW27">
            <v>2920490</v>
          </cell>
          <cell r="EX27">
            <v>0</v>
          </cell>
          <cell r="EY27">
            <v>0</v>
          </cell>
          <cell r="EZ27">
            <v>0</v>
          </cell>
          <cell r="FA27">
            <v>0</v>
          </cell>
          <cell r="FB27">
            <v>0</v>
          </cell>
          <cell r="FC27">
            <v>19456</v>
          </cell>
          <cell r="FD27">
            <v>0</v>
          </cell>
          <cell r="FE27">
            <v>0</v>
          </cell>
          <cell r="FF27">
            <v>3577646</v>
          </cell>
          <cell r="FG27">
            <v>-300000</v>
          </cell>
          <cell r="FH27">
            <v>-850000</v>
          </cell>
          <cell r="FI27">
            <v>0</v>
          </cell>
          <cell r="FJ27">
            <v>2427646</v>
          </cell>
          <cell r="FK27" t="str">
            <v>Downstate</v>
          </cell>
          <cell r="FL27" t="str">
            <v>ConEd</v>
          </cell>
          <cell r="FM27" t="str">
            <v>National Grid</v>
          </cell>
          <cell r="FN27">
            <v>5.0271759806378165E-2</v>
          </cell>
          <cell r="FO27">
            <v>3.4672673418029147E-2</v>
          </cell>
        </row>
        <row r="28">
          <cell r="C28" t="str">
            <v>Village Grove</v>
          </cell>
          <cell r="D28">
            <v>187887</v>
          </cell>
          <cell r="E28" t="str">
            <v>Ithaca Neighborhood Housing Services</v>
          </cell>
          <cell r="G28" t="str">
            <v>afast@ithacanhs.org</v>
          </cell>
          <cell r="H28" t="str">
            <v>YES</v>
          </cell>
          <cell r="I28" t="str">
            <v>Milestone 1</v>
          </cell>
          <cell r="J28" t="str">
            <v>Early Design</v>
          </cell>
          <cell r="K28">
            <v>14071263.84</v>
          </cell>
          <cell r="L28">
            <v>323.74525676421865</v>
          </cell>
          <cell r="M28" t="str">
            <v>Impact to total costs: Through the use of prefabrication during construction, the Passive House design can be incorporated without an increase to the construction cost. Adding ground source heat pumps does add a slight premium, which is offset in the project’s proforma by reduced utility operating costs and therefore the ability to take on increased debt service.
Cost comparisons to similar low to moderate income projects: As compared to similar projects INHS has developed, Village Grove’s construction cost per bedroom is approximately 15 percent less. This difference is attributed to the use of prefabricated wall and floor panels by general contractor Purcell Construction.</v>
          </cell>
          <cell r="N28">
            <v>716975</v>
          </cell>
          <cell r="O28">
            <v>25.72130958954537</v>
          </cell>
          <cell r="P28">
            <v>7.94492245125865E-2</v>
          </cell>
          <cell r="Q28">
            <v>1306414</v>
          </cell>
          <cell r="R28">
            <v>9.2842690951916662E-2</v>
          </cell>
          <cell r="S28">
            <v>-589439</v>
          </cell>
          <cell r="T28">
            <v>-4.7798448936203819</v>
          </cell>
          <cell r="U28">
            <v>-1.4764215980781174E-2</v>
          </cell>
          <cell r="V28">
            <v>80000</v>
          </cell>
          <cell r="Y28">
            <v>932280</v>
          </cell>
          <cell r="Z28">
            <v>165200</v>
          </cell>
          <cell r="AG28" t="str">
            <v>GSHP</v>
          </cell>
          <cell r="AH28" t="str">
            <v>ERV</v>
          </cell>
          <cell r="AI28" t="str">
            <v>Panelized</v>
          </cell>
          <cell r="AJ28" t="str">
            <v xml:space="preserve"> R-80 roof insulation, R-15 slab edge insulation, and walls with R-12 continuous rigid insulation and 2x6 wood studs with R-21 cavity insulation.
Triple pane windows</v>
          </cell>
          <cell r="AK28" t="str">
            <v>GSHP</v>
          </cell>
          <cell r="AL28">
            <v>2252742.5099999998</v>
          </cell>
          <cell r="AM28" t="str">
            <v>Remote Solar electric (PV) Owned</v>
          </cell>
          <cell r="AO28">
            <v>43464</v>
          </cell>
          <cell r="AP28">
            <v>43464</v>
          </cell>
          <cell r="AQ28">
            <v>1</v>
          </cell>
          <cell r="AR28">
            <v>2</v>
          </cell>
          <cell r="AS28">
            <v>40</v>
          </cell>
          <cell r="AT28" t="str">
            <v>Phius</v>
          </cell>
          <cell r="AU28" t="str">
            <v>Southern Tier</v>
          </cell>
          <cell r="AV28" t="str">
            <v>All Electric</v>
          </cell>
          <cell r="AW28" t="str">
            <v>LMI</v>
          </cell>
          <cell r="AX28" t="str">
            <v>Yes</v>
          </cell>
          <cell r="AY28" t="str">
            <v>Panelized</v>
          </cell>
          <cell r="AZ28" t="str">
            <v>GSHP</v>
          </cell>
          <cell r="BA28" t="str">
            <v>ERV</v>
          </cell>
          <cell r="BB28" t="str">
            <v>GSHP</v>
          </cell>
          <cell r="BC28" t="str">
            <v>Yes</v>
          </cell>
          <cell r="BD28" t="str">
            <v>Low Rise</v>
          </cell>
          <cell r="BE28" t="str">
            <v>PV</v>
          </cell>
          <cell r="BF28" t="str">
            <v>No</v>
          </cell>
          <cell r="BG28" t="str">
            <v>No</v>
          </cell>
          <cell r="BH28" t="str">
            <v>No</v>
          </cell>
          <cell r="BI28" t="str">
            <v>No</v>
          </cell>
          <cell r="BJ28">
            <v>5</v>
          </cell>
          <cell r="BK28" t="str">
            <v>No</v>
          </cell>
          <cell r="BL28" t="str">
            <v>NC</v>
          </cell>
          <cell r="BM28" t="str">
            <v>2016 ECCC of NYS</v>
          </cell>
          <cell r="BN28" t="str">
            <v>Net Zero Energy</v>
          </cell>
          <cell r="BP28">
            <v>1086.5999999999999</v>
          </cell>
          <cell r="BQ28" t="str">
            <v>No</v>
          </cell>
          <cell r="BR28" t="str">
            <v>No</v>
          </cell>
          <cell r="BS28" t="str">
            <v>No</v>
          </cell>
          <cell r="BT28" t="str">
            <v>PHIUS+ 2018</v>
          </cell>
          <cell r="BW28" t="str">
            <v>-</v>
          </cell>
          <cell r="BX28">
            <v>2252743</v>
          </cell>
          <cell r="BY28">
            <v>0</v>
          </cell>
          <cell r="BZ28">
            <v>1</v>
          </cell>
          <cell r="CA28" t="str">
            <v>-</v>
          </cell>
          <cell r="CB28">
            <v>0</v>
          </cell>
          <cell r="CF28">
            <v>0</v>
          </cell>
          <cell r="CG28">
            <v>0</v>
          </cell>
          <cell r="CH28" t="str">
            <v>M1</v>
          </cell>
          <cell r="CJ28">
            <v>1174200</v>
          </cell>
          <cell r="CK28">
            <v>2770500</v>
          </cell>
          <cell r="CL28">
            <v>320280</v>
          </cell>
          <cell r="CM28">
            <v>30642.95</v>
          </cell>
          <cell r="CN28">
            <v>0</v>
          </cell>
          <cell r="CO28">
            <v>888684</v>
          </cell>
          <cell r="CP28">
            <v>0</v>
          </cell>
          <cell r="CQ28">
            <v>0</v>
          </cell>
          <cell r="CR28">
            <v>1189475</v>
          </cell>
          <cell r="CS28">
            <v>7697481.8899999997</v>
          </cell>
          <cell r="CT28">
            <v>14071263.84</v>
          </cell>
          <cell r="CU28">
            <v>-184000</v>
          </cell>
          <cell r="CV28">
            <v>0</v>
          </cell>
          <cell r="CW28">
            <v>0</v>
          </cell>
          <cell r="CX28">
            <v>0</v>
          </cell>
          <cell r="CY28">
            <v>-90000</v>
          </cell>
          <cell r="CZ28">
            <v>0</v>
          </cell>
          <cell r="DA28">
            <v>-239976</v>
          </cell>
          <cell r="DB28">
            <v>-513976</v>
          </cell>
          <cell r="DC28">
            <v>-792438</v>
          </cell>
          <cell r="DD28">
            <v>0</v>
          </cell>
          <cell r="DE28">
            <v>0</v>
          </cell>
          <cell r="DF28">
            <v>0</v>
          </cell>
          <cell r="DG28">
            <v>0</v>
          </cell>
          <cell r="DH28">
            <v>0</v>
          </cell>
          <cell r="DI28">
            <v>0</v>
          </cell>
          <cell r="DJ28">
            <v>12764849.84</v>
          </cell>
          <cell r="DK28">
            <v>27.015461071231364</v>
          </cell>
          <cell r="DL28">
            <v>63.742407509663167</v>
          </cell>
          <cell r="DM28">
            <v>0.52123122788529364</v>
          </cell>
          <cell r="DN28" t="e">
            <v>#DIV/0!</v>
          </cell>
          <cell r="DO28">
            <v>0</v>
          </cell>
          <cell r="DP28">
            <v>1.2298340290037524</v>
          </cell>
          <cell r="DQ28">
            <v>0.42382241472658366</v>
          </cell>
          <cell r="DR28">
            <v>0.10234464301383431</v>
          </cell>
          <cell r="DS28">
            <v>323.74525676421865</v>
          </cell>
          <cell r="DT28">
            <v>293.68787594330939</v>
          </cell>
          <cell r="DU28">
            <v>6373781.9500000002</v>
          </cell>
          <cell r="DV28">
            <v>0.45296442611511717</v>
          </cell>
          <cell r="DW28">
            <v>824200</v>
          </cell>
          <cell r="DX28">
            <v>2747000</v>
          </cell>
          <cell r="DY28">
            <v>278280</v>
          </cell>
          <cell r="DZ28">
            <v>22642.95</v>
          </cell>
          <cell r="EA28">
            <v>0</v>
          </cell>
          <cell r="EB28">
            <v>836684</v>
          </cell>
          <cell r="EC28">
            <v>0</v>
          </cell>
          <cell r="ED28">
            <v>0</v>
          </cell>
          <cell r="EE28">
            <v>950000</v>
          </cell>
          <cell r="EF28">
            <v>7695481.8899999997</v>
          </cell>
          <cell r="EG28">
            <v>13354288.84</v>
          </cell>
          <cell r="EH28">
            <v>-400976</v>
          </cell>
          <cell r="EI28">
            <v>0</v>
          </cell>
          <cell r="EJ28">
            <v>0</v>
          </cell>
          <cell r="EK28">
            <v>12953312.84</v>
          </cell>
          <cell r="EL28">
            <v>18.962819804896007</v>
          </cell>
          <cell r="EP28">
            <v>0.30003640334910814</v>
          </cell>
          <cell r="EQ28">
            <v>3.0955478722152131E-2</v>
          </cell>
          <cell r="ER28">
            <v>307.24942113013066</v>
          </cell>
          <cell r="ES28">
            <v>298.02394717467331</v>
          </cell>
          <cell r="ET28">
            <v>5658806.9500000002</v>
          </cell>
          <cell r="EU28">
            <v>0.42374453763874109</v>
          </cell>
          <cell r="EV28">
            <v>350000</v>
          </cell>
          <cell r="EW28">
            <v>23500</v>
          </cell>
          <cell r="EX28">
            <v>42000</v>
          </cell>
          <cell r="EY28">
            <v>8000</v>
          </cell>
          <cell r="EZ28">
            <v>0</v>
          </cell>
          <cell r="FA28">
            <v>52000</v>
          </cell>
          <cell r="FB28">
            <v>0</v>
          </cell>
          <cell r="FC28">
            <v>0</v>
          </cell>
          <cell r="FD28">
            <v>239475</v>
          </cell>
          <cell r="FE28">
            <v>2000</v>
          </cell>
          <cell r="FF28">
            <v>716975</v>
          </cell>
          <cell r="FG28">
            <v>-113000</v>
          </cell>
          <cell r="FH28">
            <v>-792438</v>
          </cell>
          <cell r="FI28">
            <v>0</v>
          </cell>
          <cell r="FJ28">
            <v>-188463</v>
          </cell>
          <cell r="FK28" t="str">
            <v>Upstate</v>
          </cell>
          <cell r="FL28" t="str">
            <v>NYSEG</v>
          </cell>
          <cell r="FM28" t="str">
            <v>N/A</v>
          </cell>
          <cell r="FN28">
            <v>7.94492245125865E-2</v>
          </cell>
          <cell r="FO28">
            <v>-1.4764215980781174E-2</v>
          </cell>
        </row>
        <row r="29">
          <cell r="C29" t="str">
            <v>Westgate Apartments</v>
          </cell>
          <cell r="D29">
            <v>187996</v>
          </cell>
          <cell r="E29" t="str">
            <v>Providence Housing Development Corporation</v>
          </cell>
          <cell r="G29" t="str">
            <v>daniel.sturgis@dor.org</v>
          </cell>
          <cell r="H29" t="str">
            <v>Pending</v>
          </cell>
          <cell r="I29" t="str">
            <v>Proposal</v>
          </cell>
          <cell r="J29" t="str">
            <v>Early Design</v>
          </cell>
          <cell r="K29">
            <v>19647603</v>
          </cell>
          <cell r="L29">
            <v>242.56299999999999</v>
          </cell>
          <cell r="M29" t="str">
            <v>On the overall construction cost, Home Leasing Construction has completed projects in the area such
as the 72-unit Warfield Square project and 50-unit Charlotte on the Loop which have projects in the
$182/sf range. The current construction estimate including Passive House for this project is roughly
$217/sf. This projected cost differential comes out to roughly $1.7 Million based purely on price per
square foot comparison.</v>
          </cell>
          <cell r="N29">
            <v>1700000</v>
          </cell>
          <cell r="O29">
            <v>20.987654320987655</v>
          </cell>
          <cell r="P29">
            <v>8.6524549585005356E-2</v>
          </cell>
          <cell r="Q29">
            <v>1368000</v>
          </cell>
          <cell r="R29">
            <v>6.9626814018992553E-2</v>
          </cell>
          <cell r="S29">
            <v>332000</v>
          </cell>
          <cell r="T29">
            <v>4.0987654320987659</v>
          </cell>
          <cell r="U29">
            <v>1.689773556601281E-2</v>
          </cell>
          <cell r="V29">
            <v>100000</v>
          </cell>
          <cell r="Y29">
            <v>1000000</v>
          </cell>
          <cell r="Z29">
            <v>268000</v>
          </cell>
          <cell r="AG29" t="str">
            <v>ASHP</v>
          </cell>
          <cell r="AH29" t="str">
            <v>ERV</v>
          </cell>
          <cell r="AI29" t="str">
            <v>On Site</v>
          </cell>
          <cell r="AJ29" t="str">
            <v>R-70 roof insulation, R-10 slab edge insulation, and walls with
R-12.6 continuous rigid insulation using ZIP-R and 2x6 wood studs with R-21 cavity insulation.
Triple pane windows</v>
          </cell>
          <cell r="AK29" t="str">
            <v xml:space="preserve">ASHP w/ CO2 </v>
          </cell>
          <cell r="AL29">
            <v>2751279</v>
          </cell>
          <cell r="AM29" t="str">
            <v>Onsite Solar electric (PV) Owned
and
Remote Solar electric (PV) Leased</v>
          </cell>
          <cell r="AN29" t="str">
            <v>Induction Cooktop, EV, Smart building controls, Energy monitoring and display</v>
          </cell>
          <cell r="AO29">
            <v>81000</v>
          </cell>
          <cell r="AP29">
            <v>81000</v>
          </cell>
          <cell r="AQ29">
            <v>1</v>
          </cell>
          <cell r="AR29">
            <v>4</v>
          </cell>
          <cell r="AS29">
            <v>80</v>
          </cell>
          <cell r="AT29" t="str">
            <v>Phius</v>
          </cell>
          <cell r="AU29" t="str">
            <v>Finger Lakes</v>
          </cell>
          <cell r="AV29" t="str">
            <v>All Electric</v>
          </cell>
          <cell r="AW29" t="str">
            <v>LMI</v>
          </cell>
          <cell r="AX29" t="str">
            <v>Yes</v>
          </cell>
          <cell r="AY29" t="str">
            <v>Wood Frame</v>
          </cell>
          <cell r="AZ29" t="str">
            <v>Minisplit - ASHP</v>
          </cell>
          <cell r="BA29" t="str">
            <v>ERV</v>
          </cell>
          <cell r="BB29" t="str">
            <v xml:space="preserve">ASHP w/ CO2 </v>
          </cell>
          <cell r="BC29" t="str">
            <v>Yes</v>
          </cell>
          <cell r="BD29" t="str">
            <v>Low Rise</v>
          </cell>
          <cell r="BE29" t="str">
            <v>PV</v>
          </cell>
          <cell r="BF29" t="str">
            <v>No</v>
          </cell>
          <cell r="BG29" t="str">
            <v>Yes</v>
          </cell>
          <cell r="BH29" t="str">
            <v>No</v>
          </cell>
          <cell r="BI29" t="str">
            <v>No</v>
          </cell>
          <cell r="BJ29">
            <v>5</v>
          </cell>
          <cell r="BK29" t="str">
            <v>No</v>
          </cell>
          <cell r="BL29" t="str">
            <v>NC</v>
          </cell>
          <cell r="BM29" t="str">
            <v>2016 ECCC of NYS</v>
          </cell>
          <cell r="BN29" t="str">
            <v>Net Zero Energy</v>
          </cell>
          <cell r="BP29">
            <v>1012.5</v>
          </cell>
          <cell r="BQ29" t="str">
            <v>No</v>
          </cell>
          <cell r="BR29" t="str">
            <v>No</v>
          </cell>
          <cell r="BS29" t="str">
            <v>No</v>
          </cell>
          <cell r="BT29" t="str">
            <v>PHIUS+ 2018</v>
          </cell>
          <cell r="BW29" t="str">
            <v>-</v>
          </cell>
          <cell r="BX29">
            <v>3527424</v>
          </cell>
          <cell r="BY29">
            <v>776145</v>
          </cell>
          <cell r="BZ29">
            <v>0.77996832816242112</v>
          </cell>
          <cell r="CA29" t="str">
            <v>-</v>
          </cell>
          <cell r="CB29">
            <v>40000</v>
          </cell>
          <cell r="CF29">
            <v>0.49382716049382713</v>
          </cell>
          <cell r="CG29">
            <v>9.5820370370370362</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t="e">
            <v>#DIV/0!</v>
          </cell>
          <cell r="DR29" t="e">
            <v>#DIV/0!</v>
          </cell>
          <cell r="DS29">
            <v>0</v>
          </cell>
          <cell r="DT29">
            <v>0</v>
          </cell>
          <cell r="DU29">
            <v>0</v>
          </cell>
          <cell r="DV29" t="e">
            <v>#DIV/0!</v>
          </cell>
          <cell r="EL29">
            <v>0</v>
          </cell>
          <cell r="EP29" t="e">
            <v>#DIV/0!</v>
          </cell>
          <cell r="EQ29" t="e">
            <v>#DIV/0!</v>
          </cell>
          <cell r="ER29">
            <v>0</v>
          </cell>
          <cell r="ES29">
            <v>0</v>
          </cell>
          <cell r="ET29">
            <v>0</v>
          </cell>
          <cell r="EU29" t="e">
            <v>#DIV/0!</v>
          </cell>
          <cell r="EV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v>0</v>
          </cell>
          <cell r="FK29" t="str">
            <v>Upstate</v>
          </cell>
          <cell r="FL29" t="str">
            <v>RG&amp;E</v>
          </cell>
          <cell r="FM29" t="str">
            <v>N/A</v>
          </cell>
          <cell r="FN29" t="e">
            <v>#DIV/0!</v>
          </cell>
          <cell r="FO29" t="e">
            <v>#DIV/0!</v>
          </cell>
        </row>
        <row r="30">
          <cell r="C30" t="str">
            <v>Net Zero Village</v>
          </cell>
          <cell r="D30" t="str">
            <v>CRIS LR</v>
          </cell>
          <cell r="E30" t="str">
            <v>Bruns Realty</v>
          </cell>
          <cell r="F30" t="str">
            <v>David Bruns</v>
          </cell>
          <cell r="G30" t="str">
            <v>David Bruns &lt;brunsrealty@yahoo.com&gt;</v>
          </cell>
          <cell r="H30" t="str">
            <v>No</v>
          </cell>
          <cell r="I30" t="str">
            <v>Final</v>
          </cell>
          <cell r="J30" t="str">
            <v>Complete</v>
          </cell>
          <cell r="K30">
            <v>17477428</v>
          </cell>
          <cell r="L30">
            <v>102.46303928523271</v>
          </cell>
          <cell r="M30" t="str">
            <v>Cost analysis done comparing netZero Village with comparable code building.</v>
          </cell>
          <cell r="N30">
            <v>2978723</v>
          </cell>
          <cell r="O30">
            <v>17.463039285232714</v>
          </cell>
          <cell r="P30">
            <v>0.17043257165756884</v>
          </cell>
          <cell r="Q30">
            <v>2446000</v>
          </cell>
          <cell r="R30">
            <v>0.13995194258560242</v>
          </cell>
          <cell r="S30">
            <v>532723</v>
          </cell>
          <cell r="U30">
            <v>3.0480629071966425E-2</v>
          </cell>
          <cell r="V30">
            <v>312000</v>
          </cell>
          <cell r="W30">
            <v>83200</v>
          </cell>
          <cell r="Z30">
            <v>626000</v>
          </cell>
          <cell r="AA30">
            <v>774800</v>
          </cell>
          <cell r="AB30">
            <v>650000</v>
          </cell>
          <cell r="AG30" t="str">
            <v>ASHP</v>
          </cell>
          <cell r="AH30" t="str">
            <v>ERV</v>
          </cell>
          <cell r="AI30" t="str">
            <v>Site Assembled</v>
          </cell>
          <cell r="AJ30" t="str">
            <v>Wall: Taped ZipR sheathing with 3.5" close cell, Slab: 2" XPS, Roof: 4" Plyiso on deck, 2.5" Open cell below deck.</v>
          </cell>
          <cell r="AK30" t="str">
            <v>Solar Thermal</v>
          </cell>
          <cell r="AL30">
            <v>3425312</v>
          </cell>
          <cell r="AM30" t="str">
            <v>Mounted on Carports</v>
          </cell>
          <cell r="AO30">
            <v>170573</v>
          </cell>
          <cell r="AP30">
            <v>140569</v>
          </cell>
          <cell r="AQ30">
            <v>12</v>
          </cell>
          <cell r="AR30">
            <v>3</v>
          </cell>
          <cell r="AS30">
            <v>156</v>
          </cell>
          <cell r="AT30" t="str">
            <v>Energy Star</v>
          </cell>
          <cell r="AU30" t="str">
            <v>Capital Region</v>
          </cell>
          <cell r="AV30" t="str">
            <v>All Electric</v>
          </cell>
          <cell r="AW30" t="str">
            <v>Market Rate</v>
          </cell>
          <cell r="AX30" t="str">
            <v>Yes</v>
          </cell>
          <cell r="AY30" t="str">
            <v xml:space="preserve">Site Assembled </v>
          </cell>
          <cell r="AZ30" t="str">
            <v>Minisplit - ASHP</v>
          </cell>
          <cell r="BA30" t="str">
            <v>ERV</v>
          </cell>
          <cell r="BB30" t="str">
            <v>Solar Thermal</v>
          </cell>
          <cell r="BC30" t="str">
            <v>Yes</v>
          </cell>
          <cell r="BD30" t="str">
            <v>Low Rise</v>
          </cell>
          <cell r="BE30" t="str">
            <v>PV</v>
          </cell>
          <cell r="BF30" t="str">
            <v>Yes</v>
          </cell>
          <cell r="BG30" t="str">
            <v>Yes</v>
          </cell>
          <cell r="BH30" t="str">
            <v>No</v>
          </cell>
          <cell r="BI30" t="str">
            <v>Electric Resistance</v>
          </cell>
          <cell r="BJ30">
            <v>5</v>
          </cell>
          <cell r="BK30" t="str">
            <v>No</v>
          </cell>
          <cell r="BL30" t="str">
            <v>NC</v>
          </cell>
          <cell r="BZ30" t="e">
            <v>#DIV/0!</v>
          </cell>
          <cell r="DK30">
            <v>0</v>
          </cell>
          <cell r="DL30">
            <v>0</v>
          </cell>
          <cell r="DM30" t="e">
            <v>#DIV/0!</v>
          </cell>
          <cell r="DO30" t="e">
            <v>#DIV/0!</v>
          </cell>
          <cell r="DP30" t="e">
            <v>#DIV/0!</v>
          </cell>
          <cell r="DQ30" t="e">
            <v>#DIV/0!</v>
          </cell>
          <cell r="DR30" t="e">
            <v>#DIV/0!</v>
          </cell>
          <cell r="DS30">
            <v>0</v>
          </cell>
          <cell r="DT30">
            <v>0</v>
          </cell>
          <cell r="DU30">
            <v>0</v>
          </cell>
          <cell r="DV30" t="e">
            <v>#DIV/0!</v>
          </cell>
          <cell r="EL30">
            <v>0</v>
          </cell>
          <cell r="EP30" t="e">
            <v>#DIV/0!</v>
          </cell>
          <cell r="EQ30" t="e">
            <v>#DIV/0!</v>
          </cell>
          <cell r="ER30">
            <v>0</v>
          </cell>
          <cell r="ES30">
            <v>0</v>
          </cell>
          <cell r="ET30">
            <v>0</v>
          </cell>
          <cell r="EU30" t="e">
            <v>#DIV/0!</v>
          </cell>
          <cell r="EV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v>0</v>
          </cell>
        </row>
        <row r="31">
          <cell r="C31" t="str">
            <v>Beach Green Dunes</v>
          </cell>
          <cell r="D31" t="str">
            <v>CRIS</v>
          </cell>
          <cell r="E31" t="str">
            <v>Bluestone</v>
          </cell>
          <cell r="F31" t="str">
            <v>Steven Winter</v>
          </cell>
          <cell r="G31" t="str">
            <v>Steve Bluestone 646.242.1236, SB@bluestoneorg.com</v>
          </cell>
          <cell r="H31" t="str">
            <v>No</v>
          </cell>
          <cell r="I31" t="str">
            <v>Final</v>
          </cell>
          <cell r="J31" t="str">
            <v>Complete</v>
          </cell>
          <cell r="K31">
            <v>80000</v>
          </cell>
          <cell r="L31">
            <v>0.67734042282975893</v>
          </cell>
          <cell r="O31">
            <v>0</v>
          </cell>
          <cell r="P31">
            <v>0</v>
          </cell>
          <cell r="Q31">
            <v>96200</v>
          </cell>
          <cell r="R31">
            <v>1.2024999999999999</v>
          </cell>
          <cell r="S31">
            <v>-96200</v>
          </cell>
          <cell r="U31">
            <v>-1.2024999999999999</v>
          </cell>
          <cell r="V31">
            <v>0</v>
          </cell>
          <cell r="Y31">
            <v>0</v>
          </cell>
          <cell r="Z31">
            <v>96200</v>
          </cell>
          <cell r="AA31" t="str">
            <v>+</v>
          </cell>
          <cell r="AB31">
            <v>0</v>
          </cell>
          <cell r="AF31" t="str">
            <v>+</v>
          </cell>
          <cell r="AG31" t="str">
            <v>VRF</v>
          </cell>
          <cell r="AH31" t="str">
            <v>ERV</v>
          </cell>
          <cell r="AI31" t="str">
            <v>ICF Panels</v>
          </cell>
          <cell r="AJ31" t="str">
            <v xml:space="preserve">ICF  </v>
          </cell>
          <cell r="AK31" t="str">
            <v>CHP for DHW &amp; electric generation, and back-up emergency generation, with gas-fired boilers as back-up for DHW</v>
          </cell>
          <cell r="AL31">
            <v>0</v>
          </cell>
          <cell r="AM31" t="str">
            <v>Rooftop PV</v>
          </cell>
          <cell r="AN31" t="str">
            <v>NA</v>
          </cell>
          <cell r="AO31">
            <v>118109</v>
          </cell>
          <cell r="AP31">
            <v>118109</v>
          </cell>
          <cell r="AQ31">
            <v>1</v>
          </cell>
          <cell r="AR31">
            <v>7</v>
          </cell>
          <cell r="AS31">
            <v>101</v>
          </cell>
          <cell r="AT31" t="str">
            <v>PHIUS+</v>
          </cell>
          <cell r="AU31" t="str">
            <v>NYC</v>
          </cell>
          <cell r="AV31" t="str">
            <v>Fossil Fuels</v>
          </cell>
          <cell r="AW31" t="str">
            <v>LMI</v>
          </cell>
          <cell r="AX31" t="str">
            <v>Yes</v>
          </cell>
          <cell r="AY31" t="str">
            <v xml:space="preserve">Manufacturered Assembly </v>
          </cell>
          <cell r="AZ31" t="str">
            <v>VRF - ASHP</v>
          </cell>
          <cell r="BA31" t="str">
            <v>ERV</v>
          </cell>
          <cell r="BB31" t="str">
            <v>Fossil Fuel</v>
          </cell>
          <cell r="BC31" t="str">
            <v>Yes</v>
          </cell>
          <cell r="BD31" t="str">
            <v>Mid Rise</v>
          </cell>
          <cell r="BE31" t="str">
            <v>PV</v>
          </cell>
          <cell r="BF31" t="str">
            <v>No</v>
          </cell>
          <cell r="BI31" t="str">
            <v>No</v>
          </cell>
          <cell r="BJ31">
            <v>4</v>
          </cell>
          <cell r="BK31" t="str">
            <v>Yes</v>
          </cell>
          <cell r="BL31" t="str">
            <v>NC</v>
          </cell>
          <cell r="BZ31" t="e">
            <v>#DIV/0!</v>
          </cell>
          <cell r="DK31">
            <v>0</v>
          </cell>
          <cell r="DL31">
            <v>0</v>
          </cell>
          <cell r="DM31" t="e">
            <v>#DIV/0!</v>
          </cell>
          <cell r="DO31" t="e">
            <v>#DIV/0!</v>
          </cell>
          <cell r="DP31" t="e">
            <v>#DIV/0!</v>
          </cell>
          <cell r="DQ31" t="e">
            <v>#DIV/0!</v>
          </cell>
          <cell r="DR31" t="e">
            <v>#DIV/0!</v>
          </cell>
          <cell r="DS31">
            <v>0</v>
          </cell>
          <cell r="DT31">
            <v>0</v>
          </cell>
          <cell r="DU31">
            <v>0</v>
          </cell>
          <cell r="DV31" t="e">
            <v>#DIV/0!</v>
          </cell>
          <cell r="EL31">
            <v>0</v>
          </cell>
          <cell r="EP31" t="e">
            <v>#DIV/0!</v>
          </cell>
          <cell r="EQ31" t="e">
            <v>#DIV/0!</v>
          </cell>
          <cell r="ER31">
            <v>0</v>
          </cell>
          <cell r="ES31">
            <v>0</v>
          </cell>
          <cell r="ET31">
            <v>0</v>
          </cell>
          <cell r="EU31" t="e">
            <v>#DIV/0!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v>0</v>
          </cell>
        </row>
        <row r="32">
          <cell r="C32" t="str">
            <v>Cornell Tech Residential</v>
          </cell>
          <cell r="D32" t="str">
            <v>CRIS</v>
          </cell>
          <cell r="E32" t="str">
            <v>H/R Tech Residential LLC</v>
          </cell>
          <cell r="F32" t="str">
            <v>Steven Winter Associates, Inc.</v>
          </cell>
          <cell r="G32" t="str">
            <v>asrosenberg@hudsoninc.com</v>
          </cell>
          <cell r="H32" t="str">
            <v>No</v>
          </cell>
          <cell r="I32" t="str">
            <v>Final</v>
          </cell>
          <cell r="J32" t="str">
            <v>Complete</v>
          </cell>
          <cell r="K32">
            <v>90000000</v>
          </cell>
          <cell r="L32">
            <v>359.07502274141808</v>
          </cell>
          <cell r="M32" t="str">
            <v>CRIS</v>
          </cell>
          <cell r="N32">
            <v>651592</v>
          </cell>
          <cell r="O32">
            <v>2.5996712468680681</v>
          </cell>
          <cell r="P32">
            <v>7.2399111111111107E-3</v>
          </cell>
          <cell r="Q32">
            <v>316800</v>
          </cell>
          <cell r="R32">
            <v>3.5200000000000001E-3</v>
          </cell>
          <cell r="S32">
            <v>334792</v>
          </cell>
          <cell r="U32">
            <v>3.719911111111111E-3</v>
          </cell>
          <cell r="V32">
            <v>0</v>
          </cell>
          <cell r="Y32">
            <v>0</v>
          </cell>
          <cell r="Z32">
            <v>316800</v>
          </cell>
          <cell r="AA32">
            <v>0</v>
          </cell>
          <cell r="AB32">
            <v>0</v>
          </cell>
          <cell r="AF32">
            <v>0</v>
          </cell>
          <cell r="AG32" t="str">
            <v>1  per thermal zone Electric Variable Refrigerant Flow Heat Pump, Weighted Average 12.42 EER serving Apartments and all amenities</v>
          </cell>
          <cell r="AH32" t="str">
            <v xml:space="preserve">2 AHUs, 69.7% Et serving Apartments, corridors and 26th floor amenity  </v>
          </cell>
          <cell r="AI32" t="str">
            <v xml:space="preserve">Panelized </v>
          </cell>
          <cell r="AJ32" t="str">
            <v xml:space="preserve">TYPE 1: Insulated metal panels with thermally broken clips, 5' continuous mineral wool, 6' mineral wool between studs; TYPE 2: Stone, 3' continuous XPS, Air Gap, Gyp Board, U-TYPE 1: U-0.032; TYPE 2: U-0.059 </v>
          </cell>
          <cell r="AK32" t="str">
            <v>2 Condensing Gas Heater (3000 kBtu) Et- 96%</v>
          </cell>
          <cell r="AL32" t="str">
            <v>NA</v>
          </cell>
          <cell r="AM32" t="str">
            <v>NA</v>
          </cell>
          <cell r="AN32" t="str">
            <v>Energy Star appliances and washing machines</v>
          </cell>
          <cell r="AO32">
            <v>250644</v>
          </cell>
          <cell r="AP32">
            <v>250644</v>
          </cell>
          <cell r="AQ32">
            <v>1</v>
          </cell>
          <cell r="AR32">
            <v>26</v>
          </cell>
          <cell r="AS32">
            <v>352</v>
          </cell>
          <cell r="AT32" t="str">
            <v>PHI</v>
          </cell>
          <cell r="AU32" t="str">
            <v>NYC</v>
          </cell>
          <cell r="AV32" t="str">
            <v>Fossil Fuels</v>
          </cell>
          <cell r="AW32" t="str">
            <v>Market Rate</v>
          </cell>
          <cell r="AX32" t="str">
            <v>Yes</v>
          </cell>
          <cell r="AY32" t="str">
            <v xml:space="preserve">Manufacturered Assembly </v>
          </cell>
          <cell r="AZ32" t="str">
            <v>VRF - ASHP</v>
          </cell>
          <cell r="BA32" t="str">
            <v>ERV</v>
          </cell>
          <cell r="BB32" t="str">
            <v>Fossil Fuel</v>
          </cell>
          <cell r="BC32" t="str">
            <v>Yes</v>
          </cell>
          <cell r="BD32" t="str">
            <v>High Rise</v>
          </cell>
          <cell r="BE32" t="str">
            <v>No use of PV</v>
          </cell>
          <cell r="BF32" t="str">
            <v>No</v>
          </cell>
          <cell r="BG32" t="str">
            <v>No</v>
          </cell>
          <cell r="BH32" t="str">
            <v>No</v>
          </cell>
          <cell r="BI32" t="str">
            <v>No</v>
          </cell>
          <cell r="BJ32">
            <v>4</v>
          </cell>
          <cell r="BK32" t="str">
            <v>No</v>
          </cell>
          <cell r="BL32" t="str">
            <v>NC</v>
          </cell>
          <cell r="BZ32" t="e">
            <v>#DIV/0!</v>
          </cell>
          <cell r="DK32">
            <v>0</v>
          </cell>
          <cell r="DL32">
            <v>0</v>
          </cell>
          <cell r="DM32" t="e">
            <v>#DIV/0!</v>
          </cell>
          <cell r="DO32" t="e">
            <v>#DIV/0!</v>
          </cell>
          <cell r="DP32" t="e">
            <v>#DIV/0!</v>
          </cell>
          <cell r="DQ32" t="e">
            <v>#DIV/0!</v>
          </cell>
          <cell r="DR32" t="e">
            <v>#DIV/0!</v>
          </cell>
          <cell r="DS32">
            <v>0</v>
          </cell>
          <cell r="DT32">
            <v>0</v>
          </cell>
          <cell r="DU32">
            <v>0</v>
          </cell>
          <cell r="DV32" t="e">
            <v>#DIV/0!</v>
          </cell>
          <cell r="EL32">
            <v>0</v>
          </cell>
          <cell r="EP32" t="e">
            <v>#DIV/0!</v>
          </cell>
          <cell r="EQ32" t="e">
            <v>#DIV/0!</v>
          </cell>
          <cell r="ER32">
            <v>0</v>
          </cell>
          <cell r="ES32">
            <v>0</v>
          </cell>
          <cell r="ET32">
            <v>0</v>
          </cell>
          <cell r="EU32" t="e">
            <v>#DIV/0!</v>
          </cell>
          <cell r="EV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v>0</v>
          </cell>
        </row>
        <row r="33">
          <cell r="C33" t="str">
            <v xml:space="preserve">City Centre </v>
          </cell>
          <cell r="D33" t="str">
            <v>CRIS &amp; 107598</v>
          </cell>
          <cell r="E33" t="str">
            <v xml:space="preserve">	City Centre Associates, LLC</v>
          </cell>
          <cell r="F33" t="str">
            <v>Taitem Engineering, PC</v>
          </cell>
          <cell r="G33" t="str">
            <v>usirt@taitem.com</v>
          </cell>
          <cell r="H33" t="str">
            <v>No</v>
          </cell>
          <cell r="I33" t="str">
            <v>Final</v>
          </cell>
          <cell r="J33" t="str">
            <v>Complete</v>
          </cell>
          <cell r="K33">
            <v>36000000</v>
          </cell>
          <cell r="L33">
            <v>215.43985637342908</v>
          </cell>
          <cell r="O33">
            <v>0</v>
          </cell>
          <cell r="P33">
            <v>0</v>
          </cell>
          <cell r="Q33">
            <v>322968</v>
          </cell>
          <cell r="R33">
            <v>8.9713333333333329E-3</v>
          </cell>
          <cell r="S33">
            <v>-322968</v>
          </cell>
          <cell r="U33">
            <v>-8.9713333333333329E-3</v>
          </cell>
          <cell r="V33">
            <v>0</v>
          </cell>
          <cell r="Y33">
            <v>0</v>
          </cell>
          <cell r="Z33">
            <v>280200</v>
          </cell>
          <cell r="AA33">
            <v>42768</v>
          </cell>
          <cell r="AB33">
            <v>0</v>
          </cell>
          <cell r="AF33">
            <v>0</v>
          </cell>
          <cell r="AG33" t="str">
            <v xml:space="preserve">VRF systems changed from LG to Toshiba-Carrier Units. Efficiencies of these new models are slightly lower in general, for example the most common VRF outdoor unit for the apartments now has a heating COP@17F of 2.40 vs. 2.45 and COP@47F of 3.44 vs. 3.57.
6/6/2018: Units are starting to be installed on 2nd floor. </v>
          </cell>
          <cell r="AH33" t="str">
            <v>Fan power: 2 speed fan control, .151 -1.154 W/CCFM for VRF system, 0.00065 kW/cfm for ERV
81% efficient heat recovery systems modeled with 3,150 CFM airflow and then as part of the VRF system (model needs to include it in the zones served - very difficult system to model because of the unbalanced airflow rates and multiple spaces served)</v>
          </cell>
          <cell r="AI33" t="str">
            <v>Panelized</v>
          </cell>
          <cell r="AJ33" t="str">
            <v>EW1: Brick veneer/ aluminum composite metal panel system, 3" polyiso continuous insulation, 12" medium concrete block filled with solid grouted core. Area - 893 sq. ft
EW2: Masonry veneer/ACM panel system, min. 1” air gap, 2” Polyiso continuous insulation, 5/8” exterior gyp sheathing, 2 1/2” spray polyurethane foam insulation (R-eff 6.4 as per Table A3.3.3.1) , 6” cold formed metal framing, 5/8” gypsum board, Area - 48,705 sqft
All windows modeled as Low E with Argon glass, 0.29 U-value, 0.37 SHGC.</v>
          </cell>
          <cell r="AK33" t="str">
            <v>Central condensing gas boiler, 96% efficient, 1200 gallons of storage, 120F storage temperature (i.e., temperature at the taps). Variable speed pump (correct, since the boilers are space heat, however the DHW specific pumps are fixed speed, controlled by aquastat on the return)</v>
          </cell>
          <cell r="AL33" t="str">
            <v>93721 kWh/year</v>
          </cell>
          <cell r="AM33" t="str">
            <v>PV system will be 75 kW with a 35 degree angle. 93,721 kWh of annual production</v>
          </cell>
          <cell r="AO33">
            <v>167100</v>
          </cell>
          <cell r="AP33">
            <v>167100</v>
          </cell>
          <cell r="AQ33">
            <v>1</v>
          </cell>
          <cell r="AR33">
            <v>8</v>
          </cell>
          <cell r="AS33">
            <v>193</v>
          </cell>
          <cell r="AU33" t="str">
            <v>Capital Region</v>
          </cell>
          <cell r="AV33" t="str">
            <v>Fossil Fuels</v>
          </cell>
          <cell r="AW33" t="str">
            <v>Market Rate</v>
          </cell>
          <cell r="AX33" t="str">
            <v>Yes</v>
          </cell>
          <cell r="AY33" t="str">
            <v xml:space="preserve">Manufacturered Assembly </v>
          </cell>
          <cell r="AZ33" t="str">
            <v>VRF - ASHP</v>
          </cell>
          <cell r="BA33" t="str">
            <v>ERV</v>
          </cell>
          <cell r="BB33" t="str">
            <v>Fossil Fuel</v>
          </cell>
          <cell r="BC33" t="str">
            <v>Yes</v>
          </cell>
          <cell r="BD33" t="str">
            <v>Mid Rise</v>
          </cell>
          <cell r="BE33" t="str">
            <v>PV</v>
          </cell>
          <cell r="BF33" t="str">
            <v>No</v>
          </cell>
          <cell r="BG33" t="str">
            <v>No</v>
          </cell>
          <cell r="BH33" t="str">
            <v>No</v>
          </cell>
          <cell r="BI33" t="str">
            <v>No</v>
          </cell>
          <cell r="BJ33">
            <v>5</v>
          </cell>
          <cell r="BK33" t="str">
            <v>No</v>
          </cell>
          <cell r="BL33" t="str">
            <v>NC</v>
          </cell>
          <cell r="BZ33" t="e">
            <v>#DIV/0!</v>
          </cell>
          <cell r="DK33">
            <v>0</v>
          </cell>
          <cell r="DL33">
            <v>0</v>
          </cell>
          <cell r="DM33" t="e">
            <v>#DIV/0!</v>
          </cell>
          <cell r="DO33" t="e">
            <v>#DIV/0!</v>
          </cell>
          <cell r="DP33" t="e">
            <v>#DIV/0!</v>
          </cell>
          <cell r="DQ33" t="e">
            <v>#DIV/0!</v>
          </cell>
          <cell r="DR33" t="e">
            <v>#DIV/0!</v>
          </cell>
          <cell r="DS33">
            <v>0</v>
          </cell>
          <cell r="DT33">
            <v>0</v>
          </cell>
          <cell r="DU33">
            <v>0</v>
          </cell>
          <cell r="DV33" t="e">
            <v>#DIV/0!</v>
          </cell>
          <cell r="EL33">
            <v>0</v>
          </cell>
          <cell r="EP33" t="e">
            <v>#DIV/0!</v>
          </cell>
          <cell r="EQ33" t="e">
            <v>#DIV/0!</v>
          </cell>
          <cell r="ER33">
            <v>0</v>
          </cell>
          <cell r="ES33">
            <v>0</v>
          </cell>
          <cell r="ET33">
            <v>0</v>
          </cell>
          <cell r="EU33" t="e">
            <v>#DIV/0!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row>
        <row r="34">
          <cell r="C34" t="str">
            <v>Amici House</v>
          </cell>
          <cell r="D34" t="str">
            <v>CRIS and 107601</v>
          </cell>
          <cell r="E34" t="str">
            <v>Tompkins Community Action, Inc.</v>
          </cell>
          <cell r="F34" t="str">
            <v>Taitem Engineering, PC</v>
          </cell>
          <cell r="G34" t="str">
            <v>usirt@taitem.com</v>
          </cell>
          <cell r="H34" t="str">
            <v>No</v>
          </cell>
          <cell r="I34" t="str">
            <v>Final</v>
          </cell>
          <cell r="J34" t="str">
            <v>Complete</v>
          </cell>
          <cell r="K34">
            <v>4792867</v>
          </cell>
          <cell r="L34">
            <v>232.30258821248546</v>
          </cell>
          <cell r="O34">
            <v>0</v>
          </cell>
          <cell r="P34">
            <v>0</v>
          </cell>
          <cell r="Q34">
            <v>25080.12</v>
          </cell>
          <cell r="R34">
            <v>5.232801160557971E-3</v>
          </cell>
          <cell r="S34">
            <v>-25080.12</v>
          </cell>
          <cell r="U34">
            <v>-5.232801160557971E-3</v>
          </cell>
          <cell r="V34">
            <v>0</v>
          </cell>
          <cell r="Y34">
            <v>0</v>
          </cell>
          <cell r="Z34">
            <v>23000</v>
          </cell>
          <cell r="AA34">
            <v>0</v>
          </cell>
          <cell r="AB34">
            <v>0</v>
          </cell>
          <cell r="AF34">
            <v>2080.12</v>
          </cell>
          <cell r="AG34" t="str">
            <v>VRF</v>
          </cell>
          <cell r="AH34" t="str">
            <v>In unit exhaust fans</v>
          </cell>
          <cell r="AI34" t="str">
            <v>Panelized</v>
          </cell>
          <cell r="AJ34" t="str">
            <v>Outside to inside:
Fiber cement lap siding
R-10 ci XPS insulation w/ Z-furring
5/8" gypsum board sheathing Type X gypsum board
6" structural studs 16" O.C.
6" R-21 cavity insulation
5/8" Type X gypsum board</v>
          </cell>
          <cell r="AK34" t="str">
            <v>(1) 50 gallon natural gas DHW heater to serve first floor common kitchen area, equipped with electronic mixing valve.
(1) 66 gallon tank type hybrid heat pump water heater for apartments on 2nd floor
(3) 80 gallon tank type hybrid heat pump water heater for apartments one for each 3rd, 4th, 5th floors.
Each water heater has hot water circulated via a 1/40 HP pump.</v>
          </cell>
          <cell r="AL34" t="str">
            <v>NA</v>
          </cell>
          <cell r="AM34" t="str">
            <v>NA</v>
          </cell>
          <cell r="AN34" t="str">
            <v>NA</v>
          </cell>
          <cell r="AO34">
            <v>20632</v>
          </cell>
          <cell r="AP34">
            <v>20632</v>
          </cell>
          <cell r="AQ34">
            <v>1</v>
          </cell>
          <cell r="AR34">
            <v>5</v>
          </cell>
          <cell r="AS34">
            <v>23</v>
          </cell>
          <cell r="AT34" t="str">
            <v>Energy Star</v>
          </cell>
          <cell r="AU34" t="str">
            <v>Mohawk Valley</v>
          </cell>
          <cell r="AV34" t="str">
            <v>Fossil Fuels</v>
          </cell>
          <cell r="AW34" t="str">
            <v>LMI</v>
          </cell>
          <cell r="AX34" t="str">
            <v>Yes</v>
          </cell>
          <cell r="AY34" t="str">
            <v xml:space="preserve">Manufacturered Assembly </v>
          </cell>
          <cell r="AZ34" t="str">
            <v>VRF - ASHP</v>
          </cell>
          <cell r="BA34" t="str">
            <v xml:space="preserve">No Ventialation Identified </v>
          </cell>
          <cell r="BB34" t="str">
            <v>Fossil Fuel</v>
          </cell>
          <cell r="BC34" t="str">
            <v>Yes</v>
          </cell>
          <cell r="BD34" t="str">
            <v>Mid Rise</v>
          </cell>
          <cell r="BE34" t="str">
            <v>No use of PV</v>
          </cell>
          <cell r="BF34" t="str">
            <v>No</v>
          </cell>
          <cell r="BG34" t="str">
            <v>No</v>
          </cell>
          <cell r="BH34" t="str">
            <v>No</v>
          </cell>
          <cell r="BI34" t="str">
            <v>No</v>
          </cell>
          <cell r="BJ34">
            <v>6</v>
          </cell>
          <cell r="BK34" t="str">
            <v>No</v>
          </cell>
          <cell r="BL34" t="str">
            <v>NC</v>
          </cell>
          <cell r="BZ34" t="e">
            <v>#DIV/0!</v>
          </cell>
          <cell r="DK34">
            <v>0</v>
          </cell>
          <cell r="DL34">
            <v>0</v>
          </cell>
          <cell r="DM34" t="e">
            <v>#DIV/0!</v>
          </cell>
          <cell r="DO34" t="e">
            <v>#DIV/0!</v>
          </cell>
          <cell r="DP34" t="e">
            <v>#DIV/0!</v>
          </cell>
          <cell r="DQ34" t="e">
            <v>#DIV/0!</v>
          </cell>
          <cell r="DR34" t="e">
            <v>#DIV/0!</v>
          </cell>
          <cell r="DS34">
            <v>0</v>
          </cell>
          <cell r="DT34">
            <v>0</v>
          </cell>
          <cell r="DU34">
            <v>0</v>
          </cell>
          <cell r="DV34" t="e">
            <v>#DIV/0!</v>
          </cell>
          <cell r="EL34">
            <v>0</v>
          </cell>
          <cell r="EP34" t="e">
            <v>#DIV/0!</v>
          </cell>
          <cell r="EQ34" t="e">
            <v>#DIV/0!</v>
          </cell>
          <cell r="ER34">
            <v>0</v>
          </cell>
          <cell r="ES34">
            <v>0</v>
          </cell>
          <cell r="ET34">
            <v>0</v>
          </cell>
          <cell r="EU34" t="e">
            <v>#DIV/0!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row>
        <row r="35">
          <cell r="C35" t="str">
            <v>Carriage Factory</v>
          </cell>
          <cell r="D35" t="str">
            <v>CRIS</v>
          </cell>
          <cell r="E35" t="str">
            <v xml:space="preserve">	Carriage Factory Special Needs Apartments, L.P</v>
          </cell>
          <cell r="F35" t="str">
            <v>Sustainable Comfort, Inc.</v>
          </cell>
          <cell r="G35" t="str">
            <v>brivest@greenrater.co</v>
          </cell>
          <cell r="H35" t="str">
            <v>No</v>
          </cell>
          <cell r="I35" t="str">
            <v>Final</v>
          </cell>
          <cell r="J35" t="str">
            <v>Complete</v>
          </cell>
          <cell r="K35">
            <v>2110972</v>
          </cell>
          <cell r="L35">
            <v>29.537716708410876</v>
          </cell>
          <cell r="M35" t="str">
            <v>CRIS</v>
          </cell>
          <cell r="N35">
            <v>565456</v>
          </cell>
          <cell r="O35">
            <v>7.9121272755257674</v>
          </cell>
          <cell r="P35">
            <v>0.26786522985619893</v>
          </cell>
          <cell r="Q35">
            <v>127200.5</v>
          </cell>
          <cell r="R35">
            <v>6.0256839029603423E-2</v>
          </cell>
          <cell r="S35">
            <v>438255.5</v>
          </cell>
          <cell r="U35">
            <v>0.20760839082659552</v>
          </cell>
          <cell r="V35">
            <v>0</v>
          </cell>
          <cell r="Y35">
            <v>0</v>
          </cell>
          <cell r="Z35">
            <v>127200.5</v>
          </cell>
          <cell r="AA35">
            <v>0</v>
          </cell>
          <cell r="AB35">
            <v>0</v>
          </cell>
          <cell r="AF35">
            <v>0</v>
          </cell>
          <cell r="AG35" t="str">
            <v>VRF</v>
          </cell>
          <cell r="AH35" t="str">
            <v>No</v>
          </cell>
          <cell r="AI35" t="str">
            <v>Site Assembled</v>
          </cell>
          <cell r="AJ35" t="str">
            <v xml:space="preserve">Poly Iso Rigid board above roof deck R-56 , U-0.0178 , double pane low E, Wood , U-0.3, SHGC-0.26 </v>
          </cell>
          <cell r="AK35" t="str">
            <v xml:space="preserve">1  gas fired central boiler with recirculation (570 kBtu) Et- 95%' </v>
          </cell>
          <cell r="AL35" t="str">
            <v>NA</v>
          </cell>
          <cell r="AM35" t="str">
            <v>NA</v>
          </cell>
          <cell r="AN35" t="str">
            <v>NA</v>
          </cell>
          <cell r="AO35">
            <v>71467</v>
          </cell>
          <cell r="AP35">
            <v>71467</v>
          </cell>
          <cell r="AQ35">
            <v>1</v>
          </cell>
          <cell r="AR35">
            <v>4</v>
          </cell>
          <cell r="AS35">
            <v>71</v>
          </cell>
          <cell r="AT35" t="str">
            <v>SHIPO</v>
          </cell>
          <cell r="AU35" t="str">
            <v>Finger Lakes</v>
          </cell>
          <cell r="AV35" t="str">
            <v>Fossil Fuels</v>
          </cell>
          <cell r="AW35" t="str">
            <v>LMI</v>
          </cell>
          <cell r="AX35" t="str">
            <v>Yes</v>
          </cell>
          <cell r="AY35" t="str">
            <v xml:space="preserve">Site Assembled </v>
          </cell>
          <cell r="AZ35" t="str">
            <v>VRF - ASHP</v>
          </cell>
          <cell r="BA35" t="str">
            <v xml:space="preserve">No Ventialation Identified </v>
          </cell>
          <cell r="BB35" t="str">
            <v>Fossil Fuel</v>
          </cell>
          <cell r="BC35" t="str">
            <v>Yes</v>
          </cell>
          <cell r="BD35" t="str">
            <v>Mid Rise</v>
          </cell>
          <cell r="BE35" t="str">
            <v>No use of PV</v>
          </cell>
          <cell r="BF35" t="str">
            <v>No</v>
          </cell>
          <cell r="BG35" t="str">
            <v>No</v>
          </cell>
          <cell r="BH35" t="str">
            <v>No</v>
          </cell>
          <cell r="BI35" t="str">
            <v>?</v>
          </cell>
          <cell r="BJ35">
            <v>6</v>
          </cell>
          <cell r="BK35" t="str">
            <v>Yes</v>
          </cell>
          <cell r="BL35" t="str">
            <v>GR</v>
          </cell>
          <cell r="BZ35" t="e">
            <v>#DIV/0!</v>
          </cell>
          <cell r="DK35">
            <v>0</v>
          </cell>
          <cell r="DL35">
            <v>0</v>
          </cell>
          <cell r="DM35" t="e">
            <v>#DIV/0!</v>
          </cell>
          <cell r="DO35" t="e">
            <v>#DIV/0!</v>
          </cell>
          <cell r="DP35" t="e">
            <v>#DIV/0!</v>
          </cell>
          <cell r="DQ35" t="e">
            <v>#DIV/0!</v>
          </cell>
          <cell r="DR35" t="e">
            <v>#DIV/0!</v>
          </cell>
          <cell r="DS35">
            <v>0</v>
          </cell>
          <cell r="DT35">
            <v>0</v>
          </cell>
          <cell r="DU35">
            <v>0</v>
          </cell>
          <cell r="DV35" t="e">
            <v>#DIV/0!</v>
          </cell>
          <cell r="EL35">
            <v>0</v>
          </cell>
          <cell r="EP35" t="e">
            <v>#DIV/0!</v>
          </cell>
          <cell r="EQ35" t="e">
            <v>#DIV/0!</v>
          </cell>
          <cell r="ER35">
            <v>0</v>
          </cell>
          <cell r="ES35">
            <v>0</v>
          </cell>
          <cell r="ET35">
            <v>0</v>
          </cell>
          <cell r="EU35" t="e">
            <v>#DIV/0!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row>
        <row r="36">
          <cell r="C36" t="str">
            <v>Lace Factory</v>
          </cell>
          <cell r="D36" t="str">
            <v>NYESH</v>
          </cell>
          <cell r="E36" t="str">
            <v xml:space="preserve">Libolt </v>
          </cell>
          <cell r="G36" t="str">
            <v>csnyder@rupco.org</v>
          </cell>
          <cell r="H36" t="str">
            <v>NA</v>
          </cell>
          <cell r="I36" t="str">
            <v>Complete</v>
          </cell>
          <cell r="J36" t="str">
            <v>Complete</v>
          </cell>
          <cell r="K36">
            <v>11800000</v>
          </cell>
          <cell r="L36">
            <v>168.57142857142858</v>
          </cell>
          <cell r="M36" t="str">
            <v>480K from PV, 300k for mechanical, - overall 10%</v>
          </cell>
          <cell r="N36">
            <v>1180000</v>
          </cell>
          <cell r="O36">
            <v>16.857142857142858</v>
          </cell>
          <cell r="P36">
            <v>0.1</v>
          </cell>
          <cell r="Q36">
            <v>226000</v>
          </cell>
          <cell r="R36">
            <v>1.9152542372881356E-2</v>
          </cell>
          <cell r="S36">
            <v>954000</v>
          </cell>
          <cell r="U36">
            <v>8.0847457627118646E-2</v>
          </cell>
          <cell r="V36">
            <v>0</v>
          </cell>
          <cell r="Y36">
            <v>0</v>
          </cell>
          <cell r="Z36">
            <v>110000</v>
          </cell>
          <cell r="AA36">
            <v>116000</v>
          </cell>
          <cell r="AG36" t="str">
            <v>The HVAC systems for the project were to include a water source heat pump for heating, a
cooling tower for cooling and electric storage DHW.</v>
          </cell>
          <cell r="AH36" t="str">
            <v>ERVs in Unit</v>
          </cell>
          <cell r="AI36" t="str">
            <v>Gut Rehab</v>
          </cell>
          <cell r="AJ36" t="str">
            <v>The ground floor of the east side had been insulated with 2” of closed cell spray foam and was
awaiting 4” of concrete. The west side was being prepped for insulation but will be finished in
the same manner. Interior walls on the 2nd floor, east and 3rd, floor west were being framed.
There had been no consensus on the product to use for air sealing the tongue‐and‐groove
ceiling. Some of the gaps are large and since the builder wants to showcase the ceiling it also
needs to be clear.</v>
          </cell>
          <cell r="AK36" t="str">
            <v>The HVAC systems for the project were to include a water source heat pump for heating, a
cooling tower for cooling and electric storage DHW.
Individual electric water heaters in units</v>
          </cell>
          <cell r="AL36" t="str">
            <v>160KBA</v>
          </cell>
          <cell r="AM36" t="str">
            <v>PV connected to landlord meter and related to common areas/cooling tower</v>
          </cell>
          <cell r="AN36" t="str">
            <v>Energy Star Appliances</v>
          </cell>
          <cell r="AO36">
            <v>70000</v>
          </cell>
          <cell r="AP36">
            <v>59500</v>
          </cell>
          <cell r="AQ36">
            <v>1</v>
          </cell>
          <cell r="AR36">
            <v>4</v>
          </cell>
          <cell r="AS36">
            <v>55</v>
          </cell>
          <cell r="AT36" t="str">
            <v>Energy Star</v>
          </cell>
          <cell r="AU36" t="str">
            <v>Mid Hudson</v>
          </cell>
          <cell r="AV36" t="str">
            <v>Fossil Fuels</v>
          </cell>
          <cell r="AW36" t="str">
            <v>LMI</v>
          </cell>
          <cell r="AX36" t="str">
            <v>Yes</v>
          </cell>
          <cell r="AY36" t="str">
            <v xml:space="preserve">Site Assembled </v>
          </cell>
          <cell r="AZ36" t="str">
            <v>WSHP w/. NG Boiler</v>
          </cell>
          <cell r="BA36" t="str">
            <v>ERV</v>
          </cell>
          <cell r="BB36" t="str">
            <v>Conventional Electric Fired Storage Water heater - 50G</v>
          </cell>
          <cell r="BC36" t="str">
            <v>90+% LED</v>
          </cell>
          <cell r="BD36" t="str">
            <v>Low Rise</v>
          </cell>
          <cell r="BE36" t="str">
            <v>PV</v>
          </cell>
          <cell r="BF36" t="str">
            <v>No</v>
          </cell>
          <cell r="BG36" t="str">
            <v>No</v>
          </cell>
          <cell r="BH36" t="str">
            <v>Yes</v>
          </cell>
          <cell r="BI36" t="str">
            <v>No</v>
          </cell>
          <cell r="BJ36">
            <v>6</v>
          </cell>
          <cell r="BK36" t="str">
            <v>No</v>
          </cell>
          <cell r="BL36" t="str">
            <v>GR</v>
          </cell>
          <cell r="BM36" t="str">
            <v>SHIPO - NYS2010 ECC</v>
          </cell>
          <cell r="BZ36" t="e">
            <v>#DIV/0!</v>
          </cell>
          <cell r="DK36">
            <v>0</v>
          </cell>
          <cell r="DL36">
            <v>0</v>
          </cell>
          <cell r="DM36" t="e">
            <v>#DIV/0!</v>
          </cell>
          <cell r="DO36" t="e">
            <v>#DIV/0!</v>
          </cell>
          <cell r="DP36" t="e">
            <v>#DIV/0!</v>
          </cell>
          <cell r="DQ36" t="e">
            <v>#DIV/0!</v>
          </cell>
          <cell r="DR36" t="e">
            <v>#DIV/0!</v>
          </cell>
          <cell r="DS36">
            <v>0</v>
          </cell>
          <cell r="DT36">
            <v>0</v>
          </cell>
          <cell r="DU36">
            <v>0</v>
          </cell>
          <cell r="DV36" t="e">
            <v>#DIV/0!</v>
          </cell>
          <cell r="EL36">
            <v>0</v>
          </cell>
          <cell r="EP36" t="e">
            <v>#DIV/0!</v>
          </cell>
          <cell r="EQ36" t="e">
            <v>#DIV/0!</v>
          </cell>
          <cell r="ER36">
            <v>0</v>
          </cell>
          <cell r="ES36">
            <v>0</v>
          </cell>
          <cell r="ET36">
            <v>0</v>
          </cell>
          <cell r="EU36" t="e">
            <v>#DIV/0!</v>
          </cell>
          <cell r="EV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v>0</v>
          </cell>
        </row>
        <row r="37">
          <cell r="C37" t="str">
            <v>High Bridge Place</v>
          </cell>
          <cell r="D37">
            <v>108479</v>
          </cell>
          <cell r="E37" t="str">
            <v>Libolt</v>
          </cell>
          <cell r="F37" t="str">
            <v>Performance Systems Development</v>
          </cell>
          <cell r="H37" t="str">
            <v>No</v>
          </cell>
          <cell r="J37" t="str">
            <v>Complete</v>
          </cell>
          <cell r="L37" t="e">
            <v>#DIV/0!</v>
          </cell>
          <cell r="M37" t="str">
            <v>From salesforce</v>
          </cell>
          <cell r="N37">
            <v>88900</v>
          </cell>
          <cell r="O37" t="e">
            <v>#DIV/0!</v>
          </cell>
          <cell r="P37" t="e">
            <v>#DIV/0!</v>
          </cell>
          <cell r="Q37">
            <v>9000</v>
          </cell>
          <cell r="R37" t="e">
            <v>#DIV/0!</v>
          </cell>
          <cell r="S37">
            <v>79900</v>
          </cell>
          <cell r="U37" t="e">
            <v>#DIV/0!</v>
          </cell>
          <cell r="V37">
            <v>0</v>
          </cell>
          <cell r="Y37">
            <v>0</v>
          </cell>
          <cell r="Z37">
            <v>9000</v>
          </cell>
          <cell r="AA37">
            <v>0</v>
          </cell>
          <cell r="AB37">
            <v>0</v>
          </cell>
          <cell r="AF37">
            <v>0</v>
          </cell>
          <cell r="AS37">
            <v>20</v>
          </cell>
          <cell r="AT37" t="str">
            <v>Energy Star</v>
          </cell>
          <cell r="BL37" t="str">
            <v>NC</v>
          </cell>
          <cell r="BZ37" t="e">
            <v>#DIV/0!</v>
          </cell>
          <cell r="DK37" t="e">
            <v>#DIV/0!</v>
          </cell>
          <cell r="DL37" t="e">
            <v>#DIV/0!</v>
          </cell>
          <cell r="DM37" t="e">
            <v>#DIV/0!</v>
          </cell>
          <cell r="DO37" t="e">
            <v>#DIV/0!</v>
          </cell>
          <cell r="DP37" t="e">
            <v>#DIV/0!</v>
          </cell>
          <cell r="DQ37" t="e">
            <v>#DIV/0!</v>
          </cell>
          <cell r="DR37" t="e">
            <v>#DIV/0!</v>
          </cell>
          <cell r="DS37" t="e">
            <v>#DIV/0!</v>
          </cell>
          <cell r="DT37" t="e">
            <v>#DIV/0!</v>
          </cell>
          <cell r="DU37">
            <v>0</v>
          </cell>
          <cell r="DV37" t="e">
            <v>#DIV/0!</v>
          </cell>
          <cell r="EL37" t="e">
            <v>#DIV/0!</v>
          </cell>
          <cell r="EP37" t="e">
            <v>#DIV/0!</v>
          </cell>
          <cell r="EQ37" t="e">
            <v>#DIV/0!</v>
          </cell>
          <cell r="ER37" t="e">
            <v>#DIV/0!</v>
          </cell>
          <cell r="ES37" t="e">
            <v>#DIV/0!</v>
          </cell>
          <cell r="ET37">
            <v>0</v>
          </cell>
          <cell r="EU37" t="e">
            <v>#DIV/0!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row>
        <row r="38">
          <cell r="C38" t="str">
            <v>3160 Park Avenue</v>
          </cell>
          <cell r="D38" t="str">
            <v>CRIS</v>
          </cell>
          <cell r="E38" t="str">
            <v>Trinity Financial Inc.</v>
          </cell>
          <cell r="F38" t="str">
            <v>Steven Winter Associates, Inc.</v>
          </cell>
          <cell r="G38" t="str">
            <v>Steven Winter Associates, Inc.</v>
          </cell>
          <cell r="H38" t="str">
            <v>No</v>
          </cell>
          <cell r="I38" t="str">
            <v>Final</v>
          </cell>
          <cell r="J38" t="str">
            <v>Complete</v>
          </cell>
          <cell r="K38">
            <v>5072130</v>
          </cell>
          <cell r="L38">
            <v>24.187668992222186</v>
          </cell>
          <cell r="M38" t="str">
            <v>CRIS</v>
          </cell>
          <cell r="N38">
            <v>845399</v>
          </cell>
          <cell r="O38">
            <v>4.0314879899284213</v>
          </cell>
          <cell r="P38">
            <v>0.1666753415231865</v>
          </cell>
          <cell r="Q38">
            <v>182400</v>
          </cell>
          <cell r="R38">
            <v>3.5961223391356295E-2</v>
          </cell>
          <cell r="S38">
            <v>662999</v>
          </cell>
          <cell r="U38">
            <v>0.1307141181318302</v>
          </cell>
          <cell r="V38">
            <v>0</v>
          </cell>
          <cell r="Y38">
            <v>0</v>
          </cell>
          <cell r="Z38">
            <v>182400</v>
          </cell>
          <cell r="AA38">
            <v>0</v>
          </cell>
          <cell r="AB38">
            <v>0</v>
          </cell>
          <cell r="AF38">
            <v>0</v>
          </cell>
          <cell r="AG38" t="str">
            <v>VRF</v>
          </cell>
          <cell r="AH38" t="str">
            <v xml:space="preserve">47 Varies hp fans, 85% (8471 CFM per fan) </v>
          </cell>
          <cell r="AI38" t="str">
            <v>Site Assembled</v>
          </cell>
          <cell r="AJ38" t="str">
            <v>"Wall Assembly 1: 4"" Sonte Panel + Air Gap + 1.5"" Rigid Insulation (R-7.5) +8"" CMU + 1"" continuous batt in cavity (R-3.857) +2.5"" batt insulation in steel stud (R-3.357 derated) + 5/8""Gypsum board Wall Assembly 2: 4"" Facing Brick + Air Gap + 1.5"" Rigid Insulation (R-7.5) + R-13 batt insulation in 3.5"" steel stud (R-5.8 derated for floor perimeter) + 5/8""Gypsum board, U-0.058; 0.061"
double glazing, low-e, Aluminum, U-0.5, SHGC-0.4</v>
          </cell>
          <cell r="AK38" t="str">
            <v>DHW indirect-fired heater, install</v>
          </cell>
          <cell r="AL38" t="str">
            <v>NA</v>
          </cell>
          <cell r="AM38" t="str">
            <v>NA</v>
          </cell>
          <cell r="AN38" t="str">
            <v>NA</v>
          </cell>
          <cell r="AO38">
            <v>209699</v>
          </cell>
          <cell r="AP38">
            <v>172265</v>
          </cell>
          <cell r="AQ38">
            <v>1</v>
          </cell>
          <cell r="AR38">
            <v>11</v>
          </cell>
          <cell r="AS38">
            <v>152</v>
          </cell>
          <cell r="AT38" t="str">
            <v>NC Performance Program V5.0</v>
          </cell>
          <cell r="AU38" t="str">
            <v>NYC</v>
          </cell>
          <cell r="AV38" t="str">
            <v>Fossil Fuels</v>
          </cell>
          <cell r="AW38" t="str">
            <v>LMI</v>
          </cell>
          <cell r="AX38" t="str">
            <v>Yes</v>
          </cell>
          <cell r="AY38" t="str">
            <v xml:space="preserve">Site Assembled </v>
          </cell>
          <cell r="AZ38" t="str">
            <v>VRF - ASHP</v>
          </cell>
          <cell r="BA38" t="str">
            <v>Fan</v>
          </cell>
          <cell r="BB38" t="str">
            <v>Fossil Fuel</v>
          </cell>
          <cell r="BC38" t="str">
            <v>Yes</v>
          </cell>
          <cell r="BD38" t="str">
            <v>Mid Rise</v>
          </cell>
          <cell r="BE38" t="str">
            <v>No use of PV</v>
          </cell>
          <cell r="BF38" t="str">
            <v>No</v>
          </cell>
          <cell r="BG38" t="str">
            <v>No</v>
          </cell>
          <cell r="BH38" t="str">
            <v>No</v>
          </cell>
          <cell r="BI38" t="str">
            <v>No</v>
          </cell>
          <cell r="BJ38">
            <v>4</v>
          </cell>
          <cell r="BK38" t="str">
            <v>Yes</v>
          </cell>
          <cell r="BL38" t="str">
            <v>NC</v>
          </cell>
          <cell r="BZ38" t="e">
            <v>#DIV/0!</v>
          </cell>
          <cell r="DK38">
            <v>0</v>
          </cell>
          <cell r="DL38">
            <v>0</v>
          </cell>
          <cell r="DM38" t="e">
            <v>#DIV/0!</v>
          </cell>
          <cell r="DO38" t="e">
            <v>#DIV/0!</v>
          </cell>
          <cell r="DP38" t="e">
            <v>#DIV/0!</v>
          </cell>
          <cell r="DQ38" t="e">
            <v>#DIV/0!</v>
          </cell>
          <cell r="DR38" t="e">
            <v>#DIV/0!</v>
          </cell>
          <cell r="DS38">
            <v>0</v>
          </cell>
          <cell r="DT38">
            <v>0</v>
          </cell>
          <cell r="DU38">
            <v>0</v>
          </cell>
          <cell r="DV38" t="e">
            <v>#DIV/0!</v>
          </cell>
          <cell r="EL38">
            <v>0</v>
          </cell>
          <cell r="EP38" t="e">
            <v>#DIV/0!</v>
          </cell>
          <cell r="EQ38" t="e">
            <v>#DIV/0!</v>
          </cell>
          <cell r="ER38">
            <v>0</v>
          </cell>
          <cell r="ES38">
            <v>0</v>
          </cell>
          <cell r="ET38">
            <v>0</v>
          </cell>
          <cell r="EU38" t="e">
            <v>#DIV/0!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row>
        <row r="39">
          <cell r="C39" t="str">
            <v>161st Street Mixed Use Development</v>
          </cell>
          <cell r="D39" t="str">
            <v>CRIS</v>
          </cell>
          <cell r="E39" t="str">
            <v>Bluestone Management Associates, LLC</v>
          </cell>
          <cell r="F39" t="str">
            <v>Steven Winter Associates, Inc.</v>
          </cell>
          <cell r="G39" t="str">
            <v>james.angley@bluestoneorg.com</v>
          </cell>
          <cell r="H39" t="str">
            <v>No</v>
          </cell>
          <cell r="I39" t="str">
            <v>Final</v>
          </cell>
          <cell r="J39" t="str">
            <v>Complete</v>
          </cell>
          <cell r="K39">
            <v>2994448</v>
          </cell>
          <cell r="L39">
            <v>25.562766238976959</v>
          </cell>
          <cell r="M39" t="str">
            <v>CRIS</v>
          </cell>
          <cell r="N39">
            <v>425699</v>
          </cell>
          <cell r="O39">
            <v>3.6340734670183794</v>
          </cell>
          <cell r="P39">
            <v>0.14216276255256394</v>
          </cell>
          <cell r="Q39">
            <v>156146</v>
          </cell>
          <cell r="R39">
            <v>5.2145169994603349E-2</v>
          </cell>
          <cell r="S39">
            <v>269553</v>
          </cell>
          <cell r="U39">
            <v>9.0017592557960602E-2</v>
          </cell>
          <cell r="V39">
            <v>0</v>
          </cell>
          <cell r="Y39">
            <v>0</v>
          </cell>
          <cell r="Z39">
            <v>156146</v>
          </cell>
          <cell r="AA39">
            <v>0</v>
          </cell>
          <cell r="AB39">
            <v>0</v>
          </cell>
          <cell r="AF39">
            <v>0</v>
          </cell>
          <cell r="AG39" t="str">
            <v>VRF</v>
          </cell>
          <cell r="AH39" t="str">
            <v>Fans</v>
          </cell>
          <cell r="AI39" t="str">
            <v>ICF</v>
          </cell>
          <cell r="AJ39" t="str">
            <v xml:space="preserve">Face brick/Stucco  + 3/4' Air Space + Air and Moisture Barrier Membrane + ICF System Insulation + Concrete + ICF System Insulation + 1/2' Gypsum Board (whole assembly derated for plank edge), U-0.049 </v>
          </cell>
          <cell r="AK39" t="str">
            <v xml:space="preserve">1 Standalone Gas Storage Tank (500 kBtu) Et- 84.2%' </v>
          </cell>
          <cell r="AL39" t="str">
            <v>NA</v>
          </cell>
          <cell r="AM39" t="str">
            <v>NA</v>
          </cell>
          <cell r="AN39" t="str">
            <v>NA</v>
          </cell>
          <cell r="AO39">
            <v>117141</v>
          </cell>
          <cell r="AP39">
            <v>90764</v>
          </cell>
          <cell r="AQ39">
            <v>1</v>
          </cell>
          <cell r="AR39">
            <v>9</v>
          </cell>
          <cell r="AS39">
            <v>101</v>
          </cell>
          <cell r="AT39" t="str">
            <v>NC Performance Program V4.0</v>
          </cell>
          <cell r="AU39" t="str">
            <v>NYC</v>
          </cell>
          <cell r="AV39" t="str">
            <v>Fossil Fuels</v>
          </cell>
          <cell r="AW39" t="str">
            <v>LMI</v>
          </cell>
          <cell r="AX39" t="str">
            <v>Yes</v>
          </cell>
          <cell r="AY39" t="str">
            <v xml:space="preserve">Manufacturered Assembly </v>
          </cell>
          <cell r="AZ39" t="str">
            <v>VRF - ASHP</v>
          </cell>
          <cell r="BA39" t="str">
            <v xml:space="preserve">No Ventialation Identified </v>
          </cell>
          <cell r="BB39" t="str">
            <v>Fossil Fuel</v>
          </cell>
          <cell r="BC39" t="str">
            <v>Yes</v>
          </cell>
          <cell r="BD39" t="str">
            <v>Mid Rise</v>
          </cell>
          <cell r="BE39" t="str">
            <v>No use of PV</v>
          </cell>
          <cell r="BF39" t="str">
            <v>No</v>
          </cell>
          <cell r="BG39" t="str">
            <v>No</v>
          </cell>
          <cell r="BH39" t="str">
            <v>No</v>
          </cell>
          <cell r="BI39" t="str">
            <v>No</v>
          </cell>
          <cell r="BJ39">
            <v>4</v>
          </cell>
          <cell r="BK39" t="str">
            <v>No</v>
          </cell>
          <cell r="BL39" t="str">
            <v>NC</v>
          </cell>
          <cell r="BZ39" t="e">
            <v>#DIV/0!</v>
          </cell>
          <cell r="DK39">
            <v>0</v>
          </cell>
          <cell r="DL39">
            <v>0</v>
          </cell>
          <cell r="DM39" t="e">
            <v>#DIV/0!</v>
          </cell>
          <cell r="DO39" t="e">
            <v>#DIV/0!</v>
          </cell>
          <cell r="DP39" t="e">
            <v>#DIV/0!</v>
          </cell>
          <cell r="DQ39" t="e">
            <v>#DIV/0!</v>
          </cell>
          <cell r="DR39" t="e">
            <v>#DIV/0!</v>
          </cell>
          <cell r="DS39">
            <v>0</v>
          </cell>
          <cell r="DT39">
            <v>0</v>
          </cell>
          <cell r="DU39">
            <v>0</v>
          </cell>
          <cell r="DV39" t="e">
            <v>#DIV/0!</v>
          </cell>
          <cell r="EL39">
            <v>0</v>
          </cell>
          <cell r="EP39" t="e">
            <v>#DIV/0!</v>
          </cell>
          <cell r="EQ39" t="e">
            <v>#DIV/0!</v>
          </cell>
          <cell r="ER39">
            <v>0</v>
          </cell>
          <cell r="ES39">
            <v>0</v>
          </cell>
          <cell r="ET39">
            <v>0</v>
          </cell>
          <cell r="EU39" t="e">
            <v>#DIV/0!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row>
        <row r="40">
          <cell r="C40" t="str">
            <v>42 Broad Street</v>
          </cell>
          <cell r="D40" t="str">
            <v>CRIS</v>
          </cell>
          <cell r="E40" t="str">
            <v>42 West Broad Developers LLC</v>
          </cell>
          <cell r="F40" t="str">
            <v>Altanova, LLC</v>
          </cell>
          <cell r="G40" t="str">
            <v xml:space="preserve">	xwang@altanova.io</v>
          </cell>
          <cell r="H40" t="str">
            <v>No</v>
          </cell>
          <cell r="I40" t="str">
            <v>Final</v>
          </cell>
          <cell r="J40" t="str">
            <v>Complete</v>
          </cell>
          <cell r="K40">
            <v>5658744</v>
          </cell>
          <cell r="L40">
            <v>21.70063352303232</v>
          </cell>
          <cell r="M40" t="str">
            <v>CRIS</v>
          </cell>
          <cell r="N40">
            <v>1265740</v>
          </cell>
          <cell r="O40">
            <v>4.8539675722108884</v>
          </cell>
          <cell r="P40">
            <v>0.22367861136676265</v>
          </cell>
          <cell r="Q40">
            <v>387300</v>
          </cell>
          <cell r="R40">
            <v>6.8442749839893804E-2</v>
          </cell>
          <cell r="S40">
            <v>878440</v>
          </cell>
          <cell r="U40">
            <v>0.15523586152686886</v>
          </cell>
          <cell r="V40">
            <v>0</v>
          </cell>
          <cell r="Y40">
            <v>0</v>
          </cell>
          <cell r="Z40">
            <v>174300</v>
          </cell>
          <cell r="AA40">
            <v>0</v>
          </cell>
          <cell r="AB40">
            <v>0</v>
          </cell>
          <cell r="AE40">
            <v>213000</v>
          </cell>
          <cell r="AF40">
            <v>0</v>
          </cell>
          <cell r="AG40" t="str">
            <v>VRF</v>
          </cell>
          <cell r="AH40" t="str">
            <v>Proposed but not installed</v>
          </cell>
          <cell r="AI40" t="str">
            <v>ICF Panels</v>
          </cell>
          <cell r="AJ40" t="str">
            <v xml:space="preserve">Main Wall: Insulated structural form w/ two panels of  2.625'' extruded polystyrene (R-5/in) sandwiching reinforced concrete Curtain Wall: Glass Spandrel w/min batt at slab edge, U-0.051
Triple Pane Lo-E Argon, Metal, U-0.202, SHGC-0.25 </v>
          </cell>
          <cell r="AK40" t="str">
            <v>Gas</v>
          </cell>
          <cell r="AL40" t="str">
            <v>NA</v>
          </cell>
          <cell r="AM40" t="str">
            <v>NA</v>
          </cell>
          <cell r="AN40" t="str">
            <v>NA</v>
          </cell>
          <cell r="AO40">
            <v>260764</v>
          </cell>
          <cell r="AP40">
            <v>252589</v>
          </cell>
          <cell r="AQ40">
            <v>1</v>
          </cell>
          <cell r="AR40">
            <v>16</v>
          </cell>
          <cell r="AS40">
            <v>249</v>
          </cell>
          <cell r="AT40" t="str">
            <v>NC Performance Program V6.1</v>
          </cell>
          <cell r="AU40" t="str">
            <v>Mid Hudson</v>
          </cell>
          <cell r="AV40" t="str">
            <v>Fossil Fuels</v>
          </cell>
          <cell r="AW40" t="str">
            <v>Market Rate</v>
          </cell>
          <cell r="AX40" t="str">
            <v>Yes</v>
          </cell>
          <cell r="AY40" t="str">
            <v xml:space="preserve">Manufacturered Assembly </v>
          </cell>
          <cell r="AZ40" t="str">
            <v>VRF - ASHP</v>
          </cell>
          <cell r="BA40" t="str">
            <v xml:space="preserve">No Ventialation Identified </v>
          </cell>
          <cell r="BB40" t="str">
            <v>Fossil Fuel</v>
          </cell>
          <cell r="BC40" t="str">
            <v>Yes</v>
          </cell>
          <cell r="BD40" t="str">
            <v>Mid Rise</v>
          </cell>
          <cell r="BE40" t="str">
            <v>No use of PV</v>
          </cell>
          <cell r="BF40" t="str">
            <v>No</v>
          </cell>
          <cell r="BG40" t="str">
            <v>No</v>
          </cell>
          <cell r="BH40" t="str">
            <v>No</v>
          </cell>
          <cell r="BI40" t="str">
            <v>No</v>
          </cell>
          <cell r="BJ40">
            <v>4</v>
          </cell>
          <cell r="BK40" t="str">
            <v>Yes</v>
          </cell>
          <cell r="BL40" t="str">
            <v>NC</v>
          </cell>
          <cell r="BZ40" t="e">
            <v>#DIV/0!</v>
          </cell>
          <cell r="DK40">
            <v>0</v>
          </cell>
          <cell r="DL40">
            <v>0</v>
          </cell>
          <cell r="DM40" t="e">
            <v>#DIV/0!</v>
          </cell>
          <cell r="DO40" t="e">
            <v>#DIV/0!</v>
          </cell>
          <cell r="DP40" t="e">
            <v>#DIV/0!</v>
          </cell>
          <cell r="DQ40" t="e">
            <v>#DIV/0!</v>
          </cell>
          <cell r="DR40" t="e">
            <v>#DIV/0!</v>
          </cell>
          <cell r="DS40">
            <v>0</v>
          </cell>
          <cell r="DT40">
            <v>0</v>
          </cell>
          <cell r="DU40">
            <v>0</v>
          </cell>
          <cell r="DV40" t="e">
            <v>#DIV/0!</v>
          </cell>
          <cell r="EL40">
            <v>0</v>
          </cell>
          <cell r="EP40" t="e">
            <v>#DIV/0!</v>
          </cell>
          <cell r="EQ40" t="e">
            <v>#DIV/0!</v>
          </cell>
          <cell r="ER40">
            <v>0</v>
          </cell>
          <cell r="ES40">
            <v>0</v>
          </cell>
          <cell r="ET40">
            <v>0</v>
          </cell>
          <cell r="EU40" t="e">
            <v>#DIV/0!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row>
        <row r="41">
          <cell r="C41" t="str">
            <v>350 Clarkson Avenue</v>
          </cell>
          <cell r="D41" t="str">
            <v>CRIS</v>
          </cell>
          <cell r="E41" t="str">
            <v>Bowery Residents' Committee, Inc</v>
          </cell>
          <cell r="F41" t="str">
            <v>Bright Power, Inc.</v>
          </cell>
          <cell r="G41" t="str">
            <v>jhenshaw@brightpower.com</v>
          </cell>
          <cell r="H41" t="str">
            <v xml:space="preserve">No </v>
          </cell>
          <cell r="I41" t="str">
            <v>Final</v>
          </cell>
          <cell r="J41" t="str">
            <v>Complete</v>
          </cell>
          <cell r="K41">
            <v>3502706</v>
          </cell>
          <cell r="L41">
            <v>16.270164062354844</v>
          </cell>
          <cell r="M41" t="str">
            <v>CRIS</v>
          </cell>
          <cell r="N41">
            <v>445071</v>
          </cell>
          <cell r="O41">
            <v>2.0673668270749337</v>
          </cell>
          <cell r="P41">
            <v>0.12706490353458155</v>
          </cell>
          <cell r="Q41">
            <v>175000</v>
          </cell>
          <cell r="R41">
            <v>4.9961372721547284E-2</v>
          </cell>
          <cell r="S41">
            <v>270071</v>
          </cell>
          <cell r="U41">
            <v>7.7103530813034268E-2</v>
          </cell>
          <cell r="V41">
            <v>0</v>
          </cell>
          <cell r="Y41">
            <v>0</v>
          </cell>
          <cell r="Z41">
            <v>175000</v>
          </cell>
          <cell r="AA41">
            <v>0</v>
          </cell>
          <cell r="AB41">
            <v>0</v>
          </cell>
          <cell r="AF41">
            <v>0</v>
          </cell>
          <cell r="AG41" t="str">
            <v>VRF</v>
          </cell>
          <cell r="AH41" t="str">
            <v>Fan</v>
          </cell>
          <cell r="AI41" t="str">
            <v>ICF Panels</v>
          </cell>
          <cell r="AJ41" t="str">
            <v>Continuously insulated concrete form 13 1/4'' (R-22.4) Gypsum board 5/8'' (R-0.56) U-0.042</v>
          </cell>
          <cell r="AK41" t="str">
            <v>Condensing Boiler</v>
          </cell>
          <cell r="AL41" t="str">
            <v>NA</v>
          </cell>
          <cell r="AM41" t="str">
            <v>NA</v>
          </cell>
          <cell r="AN41" t="str">
            <v>Na</v>
          </cell>
          <cell r="AO41">
            <v>215284</v>
          </cell>
          <cell r="AP41">
            <v>215284</v>
          </cell>
          <cell r="AQ41">
            <v>1</v>
          </cell>
          <cell r="AR41">
            <v>8</v>
          </cell>
          <cell r="AS41">
            <v>250</v>
          </cell>
          <cell r="AT41" t="str">
            <v>NC Performance Program V6.1</v>
          </cell>
          <cell r="AU41" t="str">
            <v>NYC</v>
          </cell>
          <cell r="AV41" t="str">
            <v>Fossil Fuels</v>
          </cell>
          <cell r="AW41" t="str">
            <v>Market Rate</v>
          </cell>
          <cell r="AX41" t="str">
            <v>Yes</v>
          </cell>
          <cell r="AY41" t="str">
            <v xml:space="preserve">Manufacturered Assembly </v>
          </cell>
          <cell r="AZ41" t="str">
            <v>VRF - ASHP</v>
          </cell>
          <cell r="BA41" t="str">
            <v xml:space="preserve">No Ventialation Identified </v>
          </cell>
          <cell r="BB41" t="str">
            <v>Fossil Fuel</v>
          </cell>
          <cell r="BC41" t="str">
            <v>Yes</v>
          </cell>
          <cell r="BD41" t="str">
            <v>Mid Rise</v>
          </cell>
          <cell r="BE41" t="str">
            <v>No use of PV</v>
          </cell>
          <cell r="BF41" t="str">
            <v xml:space="preserve">No </v>
          </cell>
          <cell r="BG41" t="str">
            <v>No</v>
          </cell>
          <cell r="BH41" t="str">
            <v>No</v>
          </cell>
          <cell r="BI41" t="str">
            <v xml:space="preserve">No </v>
          </cell>
          <cell r="BJ41">
            <v>4</v>
          </cell>
          <cell r="BK41" t="str">
            <v>Yes</v>
          </cell>
          <cell r="BL41" t="str">
            <v>NC</v>
          </cell>
          <cell r="BZ41" t="e">
            <v>#DIV/0!</v>
          </cell>
          <cell r="DK41">
            <v>0</v>
          </cell>
          <cell r="DL41">
            <v>0</v>
          </cell>
          <cell r="DM41" t="e">
            <v>#DIV/0!</v>
          </cell>
          <cell r="DO41" t="e">
            <v>#DIV/0!</v>
          </cell>
          <cell r="DP41" t="e">
            <v>#DIV/0!</v>
          </cell>
          <cell r="DQ41" t="e">
            <v>#DIV/0!</v>
          </cell>
          <cell r="DR41" t="e">
            <v>#DIV/0!</v>
          </cell>
          <cell r="DS41">
            <v>0</v>
          </cell>
          <cell r="DT41">
            <v>0</v>
          </cell>
          <cell r="DU41">
            <v>0</v>
          </cell>
          <cell r="DV41" t="e">
            <v>#DIV/0!</v>
          </cell>
          <cell r="EL41">
            <v>0</v>
          </cell>
          <cell r="EP41" t="e">
            <v>#DIV/0!</v>
          </cell>
          <cell r="EQ41" t="e">
            <v>#DIV/0!</v>
          </cell>
          <cell r="ER41">
            <v>0</v>
          </cell>
          <cell r="ES41">
            <v>0</v>
          </cell>
          <cell r="ET41">
            <v>0</v>
          </cell>
          <cell r="EU41" t="e">
            <v>#DIV/0!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row>
        <row r="42">
          <cell r="C42" t="str">
            <v>Bethany Terraces Senior Houses</v>
          </cell>
          <cell r="D42">
            <v>226668</v>
          </cell>
          <cell r="E42" t="str">
            <v>RiseBoro Community Partnership, Inc.</v>
          </cell>
          <cell r="F42" t="str">
            <v>Paul A. Castrucci, Architect PLLC</v>
          </cell>
          <cell r="G42" t="str">
            <v>grayson@castrucciarchitect.com</v>
          </cell>
          <cell r="I42" t="str">
            <v>Proposal</v>
          </cell>
          <cell r="J42" t="str">
            <v>Early Design</v>
          </cell>
          <cell r="K42">
            <v>19000000</v>
          </cell>
          <cell r="L42">
            <v>468.90424481737415</v>
          </cell>
          <cell r="M42" t="str">
            <v>Cost associated with additional air sealing and insulation are minimal, with the biggest cost escalations associated with the use of triple pane windows and implementation of the VRF, ERV and air source heat pump hot water systems. Expected cost escalation for Passive House is less than 5% - with significant cost offsets expected by using modular construction.</v>
          </cell>
          <cell r="N42">
            <v>950000</v>
          </cell>
          <cell r="O42">
            <v>23.445212240868706</v>
          </cell>
          <cell r="P42">
            <v>0.05</v>
          </cell>
          <cell r="Q42">
            <v>1010200</v>
          </cell>
          <cell r="R42">
            <v>5.316842105263158E-2</v>
          </cell>
          <cell r="S42">
            <v>-60200</v>
          </cell>
          <cell r="T42">
            <v>-1.4856860809476802</v>
          </cell>
          <cell r="U42">
            <v>-3.168421052631579E-3</v>
          </cell>
          <cell r="V42">
            <v>0</v>
          </cell>
          <cell r="Y42">
            <v>810400</v>
          </cell>
          <cell r="Z42">
            <v>199800</v>
          </cell>
          <cell r="AG42" t="str">
            <v>Heating and cooling are delivered through a variable refrigerant flow (VRF) system which help the electrification of the mechanical system and drive down carbon emissions. For heating, the VRF has a rated COP of 3.85 at 47 F and rated COP of 2.42 at 17 F. The cooling COP is 6. Additional benefits of using a VRF include lower maintenance cost (requiring mainly changing of filters and cleaning coils, no water pumps to maintain or ducts to be cleaned) and individual room controls to set the ambient temperature.
Modeled result comparing VRF systems compared to hydronic heating using natural gas condensing boiler show an annual reduction of 3.7 tons of CO2 when built for PH compliance. The impact is much greater when the building is built to NYCECC 2016 code, electrification of the heating system saved 24 tons of CO2 emissions annually.</v>
          </cell>
          <cell r="AH42" t="str">
            <v>Balanced ventilation targeting 0.3 ACH as per Passive House ventilation requirements are provided in the project using an ERV. Heat recovery in the ventilation helps drastically reduce heating and cooling demand. Ventilation is provided using (4) central energy recovery ventilators
The ERV will have an average sensible recovery efficiency of 85%, a humidity recovery efficiency of
65% and an electric efficiency of 0.76 W/cfm. Evaluation of ERV systems to a baseline ventilation system ( NYCECC 2016) show an annual utility cost savings of $4000 and annual savings of 16.9 tons of CO2. When evaluated to Bethany Terraces built to PHIUS+ 2018 standard, the building sees an annual savings of $4625 and 6.4 tons of CO2 emission. The impact of the ERV is greater when built to NYECC 2016 with an annual reduction of16.9 tons of CO2.</v>
          </cell>
          <cell r="AI42" t="str">
            <v>Modular</v>
          </cell>
          <cell r="AJ42" t="str">
            <v>Bethany Terraces will have high performing building envelope with continuous insulation and minimized thermal bridging. The project will use high performing triple glazed window optimized
for solar heat gains. The building will have an extremely airtight building envelope, 0.05 cfm/sq.ft at
50 pascal, to be verified through whole building blower door testing.
Whole building energy modeling early in the design stage helps with the massing and orientation and in establishing insulation thresholds.
Proposed building envelope are:
· Above grade wall type: 27.5 hr ft2*F/Btu
· Cellar slab: 9.3 hr ft2*F/Btu
· Below grade walls: 15.5 hr ft2*F/Btu
· Roof: 54.5 hr ft2*F/Btu
· Windows: 7.5 hr ft2*F/Btu</v>
          </cell>
          <cell r="AK42" t="str">
            <v>Bethany Terraces will deliver hot water by Integrated outside air source heat pump that provides heat source into water source heat pump. Energy efficient electric hot water heating allows the building to be fully electrified while maintaining low operation/energy cost. The dual air and water heat pump systems prevent the needs for heat tracing domestic lines. Transitioning from a natural gas condensing boiler to a dual air and water source heat pump will save approximately 6.8 tons of carbon per year.</v>
          </cell>
          <cell r="AL42">
            <v>445535.7</v>
          </cell>
          <cell r="AM42" t="str">
            <v xml:space="preserve">Solar PV onsite owned </v>
          </cell>
          <cell r="AN42" t="str">
            <v>Solar PV, Air Source Heat Pump (VRF), Dual air, water source heat pump</v>
          </cell>
          <cell r="AO42">
            <v>40520</v>
          </cell>
          <cell r="AP42">
            <v>40520</v>
          </cell>
          <cell r="AQ42">
            <v>1</v>
          </cell>
          <cell r="AR42">
            <v>4</v>
          </cell>
          <cell r="AS42">
            <v>58</v>
          </cell>
          <cell r="AT42" t="str">
            <v>Phius</v>
          </cell>
          <cell r="AU42" t="str">
            <v>NYC</v>
          </cell>
          <cell r="AV42" t="str">
            <v>All Electric</v>
          </cell>
          <cell r="AW42" t="str">
            <v>LMI</v>
          </cell>
          <cell r="AX42" t="str">
            <v>Yes</v>
          </cell>
          <cell r="AY42" t="str">
            <v>Modular</v>
          </cell>
          <cell r="AZ42" t="str">
            <v>VRF - ASHP</v>
          </cell>
          <cell r="BA42" t="str">
            <v>ERV</v>
          </cell>
          <cell r="BB42" t="str">
            <v>ASHP</v>
          </cell>
          <cell r="BC42" t="str">
            <v>Yes</v>
          </cell>
          <cell r="BD42" t="str">
            <v>Mid Rise</v>
          </cell>
          <cell r="BE42" t="str">
            <v>PV</v>
          </cell>
          <cell r="BF42" t="str">
            <v>No</v>
          </cell>
          <cell r="BG42" t="str">
            <v>No</v>
          </cell>
          <cell r="BH42" t="str">
            <v>No</v>
          </cell>
          <cell r="BI42" t="str">
            <v>No</v>
          </cell>
          <cell r="BJ42">
            <v>4</v>
          </cell>
          <cell r="BK42" t="str">
            <v>No</v>
          </cell>
          <cell r="BL42" t="str">
            <v>NC</v>
          </cell>
          <cell r="BM42" t="str">
            <v>2016 ECC NYS</v>
          </cell>
          <cell r="BN42" t="str">
            <v>Net Zero Energy</v>
          </cell>
          <cell r="BP42">
            <v>698.62068965517244</v>
          </cell>
          <cell r="BQ42" t="str">
            <v>Yes</v>
          </cell>
          <cell r="BS42" t="str">
            <v>No</v>
          </cell>
          <cell r="BU42" t="str">
            <v>expected 37% reduction in source energy use and (61% site energy reduction) over the baseline</v>
          </cell>
          <cell r="BV42" t="str">
            <v>When comparing the building envelope built to New York City Energy Conservation Code (2016)
to that built to Passive House Compliance as proposed above, owners get a $5800 annual reduction in energy bill and annual savings of 24.6 tons of CO2.</v>
          </cell>
          <cell r="BX42">
            <v>1431096</v>
          </cell>
          <cell r="BY42">
            <v>294980</v>
          </cell>
          <cell r="BZ42">
            <v>0.79387825834185832</v>
          </cell>
          <cell r="CB42">
            <v>0</v>
          </cell>
          <cell r="CF42">
            <v>0</v>
          </cell>
          <cell r="CG42">
            <v>7.2798617966436332</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t="e">
            <v>#DIV/0!</v>
          </cell>
          <cell r="DO42">
            <v>0</v>
          </cell>
          <cell r="DP42">
            <v>0</v>
          </cell>
          <cell r="DQ42" t="e">
            <v>#DIV/0!</v>
          </cell>
          <cell r="DR42" t="e">
            <v>#DIV/0!</v>
          </cell>
          <cell r="DS42">
            <v>0</v>
          </cell>
          <cell r="DT42">
            <v>0</v>
          </cell>
          <cell r="DU42">
            <v>0</v>
          </cell>
          <cell r="DV42" t="e">
            <v>#DIV/0!</v>
          </cell>
          <cell r="EL42">
            <v>0</v>
          </cell>
          <cell r="EP42" t="e">
            <v>#DIV/0!</v>
          </cell>
          <cell r="EQ42" t="e">
            <v>#DIV/0!</v>
          </cell>
          <cell r="ER42">
            <v>0</v>
          </cell>
          <cell r="ES42">
            <v>0</v>
          </cell>
          <cell r="ET42">
            <v>0</v>
          </cell>
          <cell r="EU42" t="e">
            <v>#DIV/0!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v>0</v>
          </cell>
          <cell r="FK42" t="str">
            <v>Downstate</v>
          </cell>
          <cell r="FL42" t="str">
            <v>ConEd</v>
          </cell>
          <cell r="FM42" t="str">
            <v>National Grid</v>
          </cell>
          <cell r="FN42" t="e">
            <v>#DIV/0!</v>
          </cell>
          <cell r="FO42" t="e">
            <v>#DIV/0!</v>
          </cell>
        </row>
        <row r="43">
          <cell r="C43" t="str">
            <v>Cooper Park Commons - Building 2</v>
          </cell>
          <cell r="D43">
            <v>247310</v>
          </cell>
          <cell r="E43" t="str">
            <v>The Hudson Companies Incorporated</v>
          </cell>
          <cell r="F43" t="str">
            <v>Steven Winter Associates</v>
          </cell>
          <cell r="G43" t="str">
            <v>dmartello@swinter.com</v>
          </cell>
          <cell r="I43" t="str">
            <v>Proposal</v>
          </cell>
          <cell r="J43" t="str">
            <v>Early Design</v>
          </cell>
          <cell r="K43">
            <v>180239028</v>
          </cell>
          <cell r="L43">
            <v>502.27543368306652</v>
          </cell>
          <cell r="M43" t="str">
            <v>Ownership believes that designing to Passive House Classic standards will carry an initial hard cost premium of an anticipated 3-5%, but ultimately the life of the building will be extended due to the superior construction.</v>
          </cell>
          <cell r="N43">
            <v>9011951.4000000004</v>
          </cell>
          <cell r="O43">
            <v>25.113771684153328</v>
          </cell>
          <cell r="P43">
            <v>0.05</v>
          </cell>
          <cell r="Q43">
            <v>1300000</v>
          </cell>
          <cell r="R43">
            <v>7.2126443114196113E-3</v>
          </cell>
          <cell r="S43">
            <v>7711951.4000000004</v>
          </cell>
          <cell r="T43">
            <v>21.49103763463334</v>
          </cell>
          <cell r="U43">
            <v>4.2787355688580393E-2</v>
          </cell>
          <cell r="V43">
            <v>0</v>
          </cell>
          <cell r="Y43">
            <v>1000000</v>
          </cell>
          <cell r="Z43">
            <v>300000</v>
          </cell>
          <cell r="AG43" t="str">
            <v>Heating and cooling for Building 2 will be a variable refrigerant flow (VRF) system. The ability of VRF to moderate refrigerant flow to each dwelling unit is advantageous for this project due to its very low heating loads from the LEED for Homes v4 Gold and Passive House Classic design. The VRF system will be sized and zoned in a matter that optimizes its performance based on the variable seasonal heating and cooling loads of the different wings of the building.</v>
          </cell>
          <cell r="AH43" t="str">
            <v>Energy recovery ventilators will be used to recover at least 83% of the heat from exhaust air from kitchens and bathrooms and transfer it through filtered supply air to living and regularly occupied spaces. Efficient ERV’s drastically cut down heating and cooling costs for the tenants and building owners. In comparison to a more common exhaust-only ventilation design, the balanced-air ventilation system with highly efficient heat recovery is far more superior. Additionally, each ERV will have a MERV 13 filter which helps maintain a healthy living environment indoors. This is especially critical given the project’s location in Brooklyn which has high levels of pollution from vehicle exhausts and industrial land uses.</v>
          </cell>
          <cell r="AI43" t="str">
            <v>On Site</v>
          </cell>
          <cell r="AJ43" t="str">
            <v>Building 2 will utilize a cast in place concrete superstructure with steel stud back up walls and a brick and GFRC (glass fiber reinforced concrete) exterior façade. The typical exterior wall assembly will utilize 4” of continuous exterior mineral wool insulation, and 5” of mineral wool in the stud cavity to achieve an effective R-15. The project can achieve this R-value by utilizing standard galvanized steel brick ties which helps keep the wall cost-effective while still meeting the Passive House requirements. Thermally broken or stand-off shelf angles will be utilized to minimize thermal bridging at the slab edges
Triple pane windows with either uPVC or fiberglass frames will achieve a maximum U-value of 0.148 Btu/hr.ft².°F. These window requirements not only reduce heating and cooling costs for the owners and tenants but also reduce drafts and cold interior surface temperatures making the interior space muchmore comfortable for residents and much more durable over the building’s lifespan. Triple pane windows also dramatically reduce the amount of noise that travels from outside to inside helping to further enhance occupant comfort.</v>
          </cell>
          <cell r="AK43" t="str">
            <v>Centralized heat pump water heaters will be used for the domestic water heating system. This project will be one of the first of its scale and use type to employ this domestic water heating strategy in this climate zone, and will serve as a leader for future all-electric developments. The design of the centralized hot water recirculation layout will play a large part in reducing the water heating load. The design features optimal placement of horizontal recirculation piping and clustering of water taps to limit the number of recirculation risers. This will help the project team to minimize hard and soft costs for expensive copper piping, reducing water heating costs, and even reducing cooling energy costs due to less heat loss from the hot water recirculation system. Domestic water heating represents one of, if not the largest energy load in high performing buildings, and utilizing this design strategy will make major strides in reducing the project’s energy use and carbon emissions.</v>
          </cell>
          <cell r="AL43">
            <v>329394</v>
          </cell>
          <cell r="AM43" t="str">
            <v xml:space="preserve">Solar PV onsite owned </v>
          </cell>
          <cell r="AN43" t="str">
            <v>Solar PV, VRF, Standard Elecgtric Exhaust Dryers, Conduction Cooktops</v>
          </cell>
          <cell r="AO43">
            <v>358845</v>
          </cell>
          <cell r="AP43">
            <v>342659</v>
          </cell>
          <cell r="AQ43">
            <v>1</v>
          </cell>
          <cell r="AR43">
            <v>18</v>
          </cell>
          <cell r="AS43">
            <v>311</v>
          </cell>
          <cell r="AT43" t="str">
            <v>PHI</v>
          </cell>
          <cell r="AU43" t="str">
            <v>NYC</v>
          </cell>
          <cell r="AV43" t="str">
            <v>All Electric</v>
          </cell>
          <cell r="AW43" t="str">
            <v>LMI</v>
          </cell>
          <cell r="AX43" t="str">
            <v>Yes</v>
          </cell>
          <cell r="AY43" t="str">
            <v>Cast in Place Concrete</v>
          </cell>
          <cell r="AZ43" t="str">
            <v>VRF - ASHP</v>
          </cell>
          <cell r="BA43" t="str">
            <v>ERV</v>
          </cell>
          <cell r="BB43" t="str">
            <v>ASHP</v>
          </cell>
          <cell r="BC43" t="str">
            <v>Yes</v>
          </cell>
          <cell r="BD43" t="str">
            <v>Mid Rise</v>
          </cell>
          <cell r="BE43" t="str">
            <v>PV</v>
          </cell>
          <cell r="BF43" t="str">
            <v>No</v>
          </cell>
          <cell r="BG43" t="str">
            <v>No</v>
          </cell>
          <cell r="BH43" t="str">
            <v>No</v>
          </cell>
          <cell r="BI43" t="str">
            <v>No</v>
          </cell>
          <cell r="BJ43">
            <v>4</v>
          </cell>
          <cell r="BK43" t="str">
            <v>No</v>
          </cell>
          <cell r="BL43" t="str">
            <v>NC</v>
          </cell>
          <cell r="BM43" t="str">
            <v>2019 ECC NYS</v>
          </cell>
          <cell r="BN43" t="str">
            <v>Requires Grid Power</v>
          </cell>
          <cell r="BP43">
            <v>1153.8424437299036</v>
          </cell>
          <cell r="BQ43" t="str">
            <v>Yes</v>
          </cell>
          <cell r="BS43" t="str">
            <v>No</v>
          </cell>
          <cell r="BV43" t="str">
            <v>it is anticipated that after the initial 1-2 years of commissioning and stabilization, the overall maintenance &amp; operating costs will be below that of a typical code building. The Development Team is in the process of analyzing this data to be able to understand more precisely the cost impacts on maintenance and operations to be able to offset subsidy and other capital sources in the underwriting.</v>
          </cell>
          <cell r="BX43">
            <v>3800750</v>
          </cell>
          <cell r="BY43">
            <v>3471356</v>
          </cell>
          <cell r="BZ43">
            <v>8.6665526540814317E-2</v>
          </cell>
          <cell r="CB43">
            <v>178044.34</v>
          </cell>
          <cell r="CF43">
            <v>0.49615945603254885</v>
          </cell>
          <cell r="CG43">
            <v>9.6736919840042361</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t="e">
            <v>#DIV/0!</v>
          </cell>
          <cell r="DR43" t="e">
            <v>#DIV/0!</v>
          </cell>
          <cell r="DS43">
            <v>0</v>
          </cell>
          <cell r="DT43">
            <v>0</v>
          </cell>
          <cell r="DU43">
            <v>0</v>
          </cell>
          <cell r="DV43" t="e">
            <v>#DIV/0!</v>
          </cell>
          <cell r="EL43">
            <v>0</v>
          </cell>
          <cell r="EP43" t="e">
            <v>#DIV/0!</v>
          </cell>
          <cell r="EQ43" t="e">
            <v>#DIV/0!</v>
          </cell>
          <cell r="ER43">
            <v>0</v>
          </cell>
          <cell r="ES43">
            <v>0</v>
          </cell>
          <cell r="ET43">
            <v>0</v>
          </cell>
          <cell r="EU43" t="e">
            <v>#DIV/0!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t="str">
            <v>Downstate</v>
          </cell>
          <cell r="FL43" t="str">
            <v>ConEd</v>
          </cell>
          <cell r="FM43" t="str">
            <v>National Grid</v>
          </cell>
          <cell r="FN43" t="e">
            <v>#DIV/0!</v>
          </cell>
          <cell r="FO43" t="e">
            <v>#DIV/0!</v>
          </cell>
        </row>
        <row r="44">
          <cell r="C44" t="str">
            <v>Colonial II Apartments Revitalization</v>
          </cell>
          <cell r="D44">
            <v>247539</v>
          </cell>
          <cell r="E44" t="str">
            <v>Beacon Communities Services LLC</v>
          </cell>
          <cell r="F44" t="str">
            <v>New Ecology, Inc</v>
          </cell>
          <cell r="G44" t="str">
            <v>wisse@newecology.org</v>
          </cell>
          <cell r="I44" t="str">
            <v>Milestone 2</v>
          </cell>
          <cell r="J44" t="str">
            <v>Early Design</v>
          </cell>
          <cell r="K44">
            <v>24735436</v>
          </cell>
          <cell r="L44">
            <v>371.82166102968807</v>
          </cell>
          <cell r="M44" t="str">
            <v>The early design calculated development costs of the Colonial II project
totaled $20,000/unit more than the Colonial I project ($281,233 per unit at Colonial II versus
$261,046 per unit at Colonial I) – approximately $2 million dollars more across the building.</v>
          </cell>
          <cell r="N44">
            <v>7420630.8000000007</v>
          </cell>
          <cell r="O44">
            <v>111.54649830890644</v>
          </cell>
          <cell r="P44">
            <v>0.30000000000000004</v>
          </cell>
          <cell r="Q44">
            <v>2449064</v>
          </cell>
          <cell r="R44">
            <v>9.9010342894299497E-2</v>
          </cell>
          <cell r="S44">
            <v>4971566.8000000007</v>
          </cell>
          <cell r="T44">
            <v>82.944690391780739</v>
          </cell>
          <cell r="U44">
            <v>0.22307654202308033</v>
          </cell>
          <cell r="V44">
            <v>0</v>
          </cell>
          <cell r="Y44">
            <v>1000000</v>
          </cell>
          <cell r="Z44">
            <v>309900</v>
          </cell>
          <cell r="AG44" t="str">
            <v>Each residential unit will be heated and cooled via a vertical stack heat pump connected to
the outdoor geothermal loop. The heat pump equipment will be high‐efficiency units with a
minimum ground loop Energy Efficiency Ratio (EER) rating of 16 and Coefficient of
Performance (COP) of 3.3. This equipment will also utilize electronically commutated motors
(ECM) blower fans. The use of ECMs allows for increased operability and reduced noise.
Each heat pump will be sized according to the heat load of the apartment; based on
preliminary calculations, this will require a ¾‐ton unit per apartment. Sized according to the
load of the building, the geothermal loop system will include thirty‐four 500‐foot vertical
wells, placed in a field, located south‐west of the Colonial II building and owned by the Rome
Housing Authority.</v>
          </cell>
          <cell r="AH44" t="str">
            <v>Energy Recovery Ventilator
(ERV) with minimum 75% effectiveness, placed horizontally between the existing ceiling
trusses within each residential unit, with minimum diameter and length duct runs to provide
fresh air to living and bedroom spaces and exhaust stale air from the bathroom and kitchen
spaces. Both the intake and the exhaust duct runs will connect directly to the exterior via
side‐wall penetrations, which are placed to ensure no cross‐contamination of intake and
exhausted air. The ventilation system will also be designed to include minimum MERV1 13
filtration media. This added filtration will remove smaller particulates than typical filters,
ensuring that all fresh air into the residential units is healthy and clean.</v>
          </cell>
          <cell r="AI44" t="str">
            <v xml:space="preserve">Panelized </v>
          </cell>
          <cell r="AJ44" t="str">
            <v>Panelized reskin of exterior</v>
          </cell>
          <cell r="AK44" t="str">
            <v>Domestic hot water for the building will be provided by a central electric heat pump hot
water system. This equipment will utilize carbon dioxide refrigerant with exterior mounted
heat pumps and interior hot water storage tanks. To reduce the time‐to‐service and excess
water required once a fixture is turned on, the building will also utilize a recirculation loop
with risers located close to unit bathrooms and kitchens.</v>
          </cell>
          <cell r="AL44">
            <v>1685869</v>
          </cell>
          <cell r="AM44" t="str">
            <v xml:space="preserve">Solar PV Onsite </v>
          </cell>
          <cell r="AN44" t="str">
            <v>Ground Source Heat Pump, CO2 Heat Pump, Electric Appliances</v>
          </cell>
          <cell r="AO44">
            <v>66525</v>
          </cell>
          <cell r="AP44">
            <v>66525</v>
          </cell>
          <cell r="AQ44">
            <v>1</v>
          </cell>
          <cell r="AR44">
            <v>7</v>
          </cell>
          <cell r="AS44">
            <v>74</v>
          </cell>
          <cell r="AT44" t="str">
            <v>ASHRAE</v>
          </cell>
          <cell r="AU44" t="str">
            <v>Mohawk Valley</v>
          </cell>
          <cell r="AV44" t="str">
            <v>All Electric</v>
          </cell>
          <cell r="AW44" t="str">
            <v>LMI</v>
          </cell>
          <cell r="AX44" t="str">
            <v>Yes</v>
          </cell>
          <cell r="AY44" t="str">
            <v>Gut Rehab</v>
          </cell>
          <cell r="AZ44" t="str">
            <v>GSHP</v>
          </cell>
          <cell r="BA44" t="str">
            <v>ERV</v>
          </cell>
          <cell r="BB44" t="str">
            <v xml:space="preserve">ASHP w/ CO2 </v>
          </cell>
          <cell r="BC44" t="str">
            <v>Yes</v>
          </cell>
          <cell r="BD44" t="str">
            <v>Mid Rise</v>
          </cell>
          <cell r="BE44" t="str">
            <v>PV</v>
          </cell>
          <cell r="BF44" t="str">
            <v>No</v>
          </cell>
          <cell r="BG44" t="str">
            <v xml:space="preserve">Yes </v>
          </cell>
          <cell r="BH44" t="str">
            <v>No</v>
          </cell>
          <cell r="BI44" t="str">
            <v>No</v>
          </cell>
          <cell r="BJ44">
            <v>5</v>
          </cell>
          <cell r="BK44" t="str">
            <v>No</v>
          </cell>
          <cell r="BL44" t="str">
            <v>GR</v>
          </cell>
          <cell r="BM44" t="str">
            <v>2019 ECC NYS</v>
          </cell>
          <cell r="BN44" t="str">
            <v>Requires Grid Power</v>
          </cell>
          <cell r="BP44">
            <v>898.98648648648646</v>
          </cell>
          <cell r="BQ44" t="str">
            <v>No</v>
          </cell>
          <cell r="BS44" t="str">
            <v>No</v>
          </cell>
          <cell r="BV44" t="str">
            <v>When compared to
a Variable Refrigerant Frequency (VRF) system, the geothermal equipment has a useful life
of up to the seven years longer and the system maintenance costs are $0.10/square foot/year
less
Additionally, the total cost of energy at the
building will be reduced by 84% below a code compliant design.
The proposed renewable energy strategies will
reduce the annual utility costs by nearly $50,000 per year. This yearly savings allows the
project to underwrite an additional $1,200,000 in permanent debt (included in the NYS HFA
First Mortgage below).</v>
          </cell>
          <cell r="BW44">
            <v>5244300</v>
          </cell>
          <cell r="BX44">
            <v>1723974</v>
          </cell>
          <cell r="BY44">
            <v>38105</v>
          </cell>
          <cell r="BZ44">
            <v>0.97789699844661226</v>
          </cell>
          <cell r="CA44">
            <v>45538</v>
          </cell>
          <cell r="CB44">
            <v>7382.2</v>
          </cell>
          <cell r="CF44">
            <v>0.11096880871852687</v>
          </cell>
          <cell r="CG44">
            <v>0.57279218338970317</v>
          </cell>
          <cell r="CH44" t="str">
            <v>M2</v>
          </cell>
          <cell r="CJ44">
            <v>3357410</v>
          </cell>
          <cell r="CK44">
            <v>1096000</v>
          </cell>
          <cell r="CL44">
            <v>1467133</v>
          </cell>
          <cell r="CM44">
            <v>169375</v>
          </cell>
          <cell r="CN44">
            <v>505440</v>
          </cell>
          <cell r="CO44">
            <v>2335100</v>
          </cell>
          <cell r="CP44">
            <v>0</v>
          </cell>
          <cell r="CQ44">
            <v>0</v>
          </cell>
          <cell r="CR44">
            <v>0</v>
          </cell>
          <cell r="CS44">
            <v>15804978</v>
          </cell>
          <cell r="CT44">
            <v>24735436</v>
          </cell>
          <cell r="CU44">
            <v>-259000</v>
          </cell>
          <cell r="CV44">
            <v>0</v>
          </cell>
          <cell r="CW44">
            <v>0</v>
          </cell>
          <cell r="CX44">
            <v>0</v>
          </cell>
          <cell r="CY44">
            <v>-200000</v>
          </cell>
          <cell r="CZ44">
            <v>0</v>
          </cell>
          <cell r="DA44">
            <v>0</v>
          </cell>
          <cell r="DB44">
            <v>-459000</v>
          </cell>
          <cell r="DC44">
            <v>-1000000</v>
          </cell>
          <cell r="DD44">
            <v>0</v>
          </cell>
          <cell r="DE44">
            <v>-990064</v>
          </cell>
          <cell r="DF44">
            <v>0</v>
          </cell>
          <cell r="DG44">
            <v>0</v>
          </cell>
          <cell r="DH44">
            <v>0</v>
          </cell>
          <cell r="DI44">
            <v>-990064</v>
          </cell>
          <cell r="DJ44">
            <v>22286372</v>
          </cell>
          <cell r="DK44">
            <v>50.468395340097707</v>
          </cell>
          <cell r="DL44">
            <v>16.4750093949643</v>
          </cell>
          <cell r="DM44">
            <v>1.947482966680472</v>
          </cell>
          <cell r="DN44">
            <v>454.79802768822304</v>
          </cell>
          <cell r="DO44">
            <v>0.29980977169637735</v>
          </cell>
          <cell r="DP44">
            <v>0.63574044620162484</v>
          </cell>
          <cell r="DQ44">
            <v>3.0633302919708028</v>
          </cell>
          <cell r="DR44">
            <v>0.10989065425274244</v>
          </cell>
          <cell r="DS44">
            <v>371.82166102968807</v>
          </cell>
          <cell r="DT44">
            <v>335.00747087561069</v>
          </cell>
          <cell r="DU44">
            <v>8930458</v>
          </cell>
          <cell r="DV44">
            <v>0.36103903727429748</v>
          </cell>
          <cell r="DW44">
            <v>2350187</v>
          </cell>
          <cell r="DX44">
            <v>767200</v>
          </cell>
          <cell r="DY44">
            <v>1026993.1</v>
          </cell>
          <cell r="DZ44">
            <v>118562.49999999999</v>
          </cell>
          <cell r="EA44">
            <v>353808</v>
          </cell>
          <cell r="EB44">
            <v>1634570</v>
          </cell>
          <cell r="EC44">
            <v>0</v>
          </cell>
          <cell r="ED44">
            <v>0</v>
          </cell>
          <cell r="EE44">
            <v>0</v>
          </cell>
          <cell r="EF44">
            <v>11063484.6</v>
          </cell>
          <cell r="EG44">
            <v>17314805.199999999</v>
          </cell>
          <cell r="EH44">
            <v>0</v>
          </cell>
          <cell r="EI44">
            <v>0</v>
          </cell>
          <cell r="EJ44">
            <v>0</v>
          </cell>
          <cell r="EK44">
            <v>17314805.199999999</v>
          </cell>
          <cell r="EL44">
            <v>35.327876738068397</v>
          </cell>
          <cell r="EP44">
            <v>3.0633302919708028</v>
          </cell>
          <cell r="EQ44">
            <v>0</v>
          </cell>
          <cell r="ER44">
            <v>260.27516272078162</v>
          </cell>
          <cell r="ES44">
            <v>260.27516272078162</v>
          </cell>
          <cell r="ET44">
            <v>6251320.5999999996</v>
          </cell>
          <cell r="EU44">
            <v>0.36103903727429748</v>
          </cell>
          <cell r="EV44">
            <v>1007223</v>
          </cell>
          <cell r="EW44">
            <v>328800</v>
          </cell>
          <cell r="EX44">
            <v>440139.9</v>
          </cell>
          <cell r="EY44">
            <v>50812.500000000015</v>
          </cell>
          <cell r="EZ44">
            <v>151632</v>
          </cell>
          <cell r="FA44">
            <v>700530</v>
          </cell>
          <cell r="FB44">
            <v>0</v>
          </cell>
          <cell r="FC44">
            <v>0</v>
          </cell>
          <cell r="FD44">
            <v>0</v>
          </cell>
          <cell r="FE44">
            <v>4741493.4000000004</v>
          </cell>
          <cell r="FF44">
            <v>7420630.8000000007</v>
          </cell>
          <cell r="FG44">
            <v>-459000</v>
          </cell>
          <cell r="FH44">
            <v>-1000000</v>
          </cell>
          <cell r="FI44">
            <v>-990064</v>
          </cell>
          <cell r="FJ44">
            <v>4971566.8000000007</v>
          </cell>
          <cell r="FK44" t="str">
            <v>Upstate</v>
          </cell>
          <cell r="FL44" t="str">
            <v>National Grid</v>
          </cell>
          <cell r="FM44" t="str">
            <v>National Grid</v>
          </cell>
          <cell r="FN44">
            <v>0.30000000000000004</v>
          </cell>
          <cell r="FO44">
            <v>0.22307654202308033</v>
          </cell>
        </row>
        <row r="45">
          <cell r="C45" t="str">
            <v>Johnson Park Green Community Apartments (aka JPA VII)</v>
          </cell>
          <cell r="D45">
            <v>246596</v>
          </cell>
          <cell r="E45" t="str">
            <v>Rockabill</v>
          </cell>
          <cell r="F45" t="str">
            <v>SWBR</v>
          </cell>
          <cell r="G45" t="str">
            <v>tzigarowicxz@swbr.com</v>
          </cell>
          <cell r="I45" t="str">
            <v>Proposal</v>
          </cell>
          <cell r="J45" t="str">
            <v>Early Design</v>
          </cell>
          <cell r="K45">
            <v>18320480</v>
          </cell>
          <cell r="L45">
            <v>325.87701666696313</v>
          </cell>
          <cell r="M45" t="str">
            <v>Some of the project cost premiums over typical HCR-funded affordable housing include
additional slab insulation, increased roof insulation, triple pane windows, passive house exterior
doors, and air-source heat pumps. The cost impacts of upgraded energy efficiency solutions are
regulated through tradeoffs. For example, the thermal enclosure design is optimized, not
maximized, to provide the right level of thermal resistance without the use of an exorbitant
amount of materials. Whereas total insulation material is increased from a code-minimum
design, costs are recouped by assembling exterior wall panels off-site; saving on-site labor and
wasted material costs, which typically account for a 5-10% material waste factor. While the
proposed HVAC systems are typically more expensive than conventional options, the capacities
of these systems have been greatly reduced to balance that cost increase. Costs are further
contained by leveraging scale and bulk orders, using the same materials and manufacturers
across the buildings to simplify the supply chain and streamline procurement, delivery, and
installation of materials.</v>
          </cell>
          <cell r="N45">
            <v>0</v>
          </cell>
          <cell r="O45">
            <v>0</v>
          </cell>
          <cell r="P45">
            <v>0</v>
          </cell>
          <cell r="Q45">
            <v>1342400</v>
          </cell>
          <cell r="R45">
            <v>7.3273189348750684E-2</v>
          </cell>
          <cell r="S45">
            <v>-1342400</v>
          </cell>
          <cell r="T45">
            <v>-23.878048346644373</v>
          </cell>
          <cell r="U45">
            <v>-7.3273189348750684E-2</v>
          </cell>
          <cell r="V45">
            <v>124000</v>
          </cell>
          <cell r="Y45">
            <v>1000000</v>
          </cell>
          <cell r="Z45">
            <v>218400</v>
          </cell>
          <cell r="AG45" t="str">
            <v>Heating and
cooling is provided through air-source heat pump Variable Refrigerant Flow (VRF) systems with
indoor fan coil units.</v>
          </cell>
          <cell r="AH45" t="str">
            <v>The airtight thermal envelope and
ventilation requirements provide indoor air benefits in conjunction with the energy efficiency
measures they deliver. Continuous controlled ventilation and filtering maintain a constant
supply of fresh air while keeping outdoor pollutants out</v>
          </cell>
          <cell r="AI45" t="str">
            <v>Panelized</v>
          </cell>
          <cell r="AJ45" t="str">
            <v>In order to reduce waste and increase durability and resiliency, building components will be
prefabricated off site in a controlled factory environment. This includes prefabricated walls
(similar to Build Smart, with windows and air-sealing factory-installed), panelized open-web
trusses, and prefabricated slab insulation blocks. Along with reducing construction waste and
improving quality through controlled factory conditions, prefabrication lowers embodied carbon
of building materials by centralizing the transportation and supply chain impacts of materials that
make up each of these components. Transportation-related carbon from the construction site is
also minimized by delivering these components prefabricated; reducing transportation associated
with site labor and materials delivery.</v>
          </cell>
          <cell r="AK45" t="str">
            <v>Domestic water heating is achieved through the use of split-system airsource
heat pumps utilizing carbon dioxide (CO2) as refrigerant in place of traditional R-410A
refrigerant. Use of CO2 refrigerant lowers global warming potential, as CO2 has a 1 : 1 tons of
carbon emissions impact, while R-410A has a carbon emissions equivalence of 1 : 2,088 tons.</v>
          </cell>
          <cell r="AL45">
            <v>674919</v>
          </cell>
          <cell r="AM45" t="str">
            <v xml:space="preserve">Solar PV Onsite Power Purchase </v>
          </cell>
          <cell r="AN45" t="str">
            <v>Air Source Heat Pump, CO2 Heat Pump, Electric Dryers, Induction Cooktops</v>
          </cell>
          <cell r="AO45">
            <v>56219</v>
          </cell>
          <cell r="AP45">
            <v>56219</v>
          </cell>
          <cell r="AQ45">
            <v>3</v>
          </cell>
          <cell r="AR45">
            <v>3</v>
          </cell>
          <cell r="AS45">
            <v>62</v>
          </cell>
          <cell r="AT45" t="str">
            <v>Phius</v>
          </cell>
          <cell r="AU45" t="str">
            <v>Mohawk Valley</v>
          </cell>
          <cell r="AV45" t="str">
            <v>All Electric</v>
          </cell>
          <cell r="AW45" t="str">
            <v>LMI</v>
          </cell>
          <cell r="AX45" t="str">
            <v>Yes</v>
          </cell>
          <cell r="AY45" t="str">
            <v>Panelized</v>
          </cell>
          <cell r="AZ45" t="str">
            <v>VRF - ASHP</v>
          </cell>
          <cell r="BA45" t="str">
            <v>ERV</v>
          </cell>
          <cell r="BB45" t="str">
            <v xml:space="preserve">ASHP w/ CO2 </v>
          </cell>
          <cell r="BC45" t="str">
            <v>Yes</v>
          </cell>
          <cell r="BD45" t="str">
            <v>Low Rise</v>
          </cell>
          <cell r="BE45" t="str">
            <v>PV</v>
          </cell>
          <cell r="BF45" t="str">
            <v>No</v>
          </cell>
          <cell r="BG45" t="str">
            <v>No</v>
          </cell>
          <cell r="BH45" t="str">
            <v>No</v>
          </cell>
          <cell r="BI45" t="str">
            <v>No</v>
          </cell>
          <cell r="BJ45">
            <v>5</v>
          </cell>
          <cell r="BK45" t="str">
            <v>No</v>
          </cell>
          <cell r="BL45" t="str">
            <v>NC</v>
          </cell>
          <cell r="BM45" t="str">
            <v>2019 ECC NYS</v>
          </cell>
          <cell r="BN45" t="str">
            <v>Requires Grid Power</v>
          </cell>
          <cell r="BP45">
            <v>906.75806451612902</v>
          </cell>
          <cell r="BQ45" t="str">
            <v>Yes</v>
          </cell>
          <cell r="BS45" t="str">
            <v>No</v>
          </cell>
          <cell r="BV45" t="str">
            <v>Prior HCR funded passive house projects have been permitted to reduce
their underwritten utility expenses by 20% to reflect the passive house benefits.</v>
          </cell>
          <cell r="BX45">
            <v>674919</v>
          </cell>
          <cell r="BY45">
            <v>0</v>
          </cell>
          <cell r="BZ45">
            <v>1</v>
          </cell>
          <cell r="CB45">
            <v>47473</v>
          </cell>
          <cell r="CF45">
            <v>0.84442981910030412</v>
          </cell>
          <cell r="CG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t="e">
            <v>#DIV/0!</v>
          </cell>
          <cell r="DR45" t="e">
            <v>#DIV/0!</v>
          </cell>
          <cell r="DS45">
            <v>0</v>
          </cell>
          <cell r="DT45">
            <v>0</v>
          </cell>
          <cell r="DU45">
            <v>0</v>
          </cell>
          <cell r="DV45" t="e">
            <v>#DIV/0!</v>
          </cell>
          <cell r="EL45">
            <v>0</v>
          </cell>
          <cell r="EP45" t="e">
            <v>#DIV/0!</v>
          </cell>
          <cell r="EQ45" t="e">
            <v>#DIV/0!</v>
          </cell>
          <cell r="ER45">
            <v>0</v>
          </cell>
          <cell r="ES45">
            <v>0</v>
          </cell>
          <cell r="ET45">
            <v>0</v>
          </cell>
          <cell r="EU45" t="e">
            <v>#DIV/0!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t="str">
            <v>Upstate</v>
          </cell>
          <cell r="FL45" t="str">
            <v>National Grid</v>
          </cell>
          <cell r="FM45" t="str">
            <v>National Grid</v>
          </cell>
          <cell r="FN45" t="e">
            <v>#DIV/0!</v>
          </cell>
          <cell r="FO45" t="e">
            <v>#DIV/0!</v>
          </cell>
        </row>
        <row r="46">
          <cell r="C46" t="str">
            <v>Great Oaks Mixed Use Eco-Park: Building 150</v>
          </cell>
          <cell r="D46">
            <v>247594</v>
          </cell>
          <cell r="E46" t="str">
            <v>The Rosenblum Companies</v>
          </cell>
          <cell r="F46" t="str">
            <v>Vision Architecture</v>
          </cell>
          <cell r="G46" t="str">
            <v>Lavine@revisionarch.com</v>
          </cell>
          <cell r="H46" t="str">
            <v>Pending</v>
          </cell>
          <cell r="I46" t="str">
            <v>Proposal</v>
          </cell>
          <cell r="J46" t="str">
            <v>Early Design</v>
          </cell>
          <cell r="K46">
            <v>24455000</v>
          </cell>
          <cell r="L46">
            <v>154.51346108889183</v>
          </cell>
          <cell r="M46" t="str">
            <v>Replicability tab in workbook states 15% comparable construction cost</v>
          </cell>
          <cell r="N46">
            <v>3668250</v>
          </cell>
          <cell r="O46">
            <v>23.177019163333775</v>
          </cell>
          <cell r="P46">
            <v>0.15</v>
          </cell>
          <cell r="Q46">
            <v>1299988</v>
          </cell>
          <cell r="R46">
            <v>5.3158372520956856E-2</v>
          </cell>
          <cell r="S46">
            <v>2368262</v>
          </cell>
          <cell r="T46">
            <v>14.96333503926809</v>
          </cell>
          <cell r="U46">
            <v>9.6841627479043138E-2</v>
          </cell>
          <cell r="V46">
            <v>0</v>
          </cell>
          <cell r="Y46">
            <v>1000000</v>
          </cell>
          <cell r="Z46">
            <v>154000</v>
          </cell>
          <cell r="AA46">
            <v>64994</v>
          </cell>
          <cell r="AF46">
            <v>80994</v>
          </cell>
          <cell r="AG46" t="str">
            <v>The preferred approach for heating and cooling is a closed loop geothermal heat pump system with the equipment zoned to maximize energy efficiency, reduce
the amount of refrigerant needed thereby reducing the system’s global warming potential, and increasing resiliency. When one component of the geothermal system needs maintenance, only that zone of units will be affected instead of the entire building. Because Building 150 will be built to meet Passive House standards, thermal conditions will stay consistent longer without energy inputs making system maintenance disruptions minimal.</v>
          </cell>
          <cell r="AH46" t="str">
            <v>Residential ventilation air will be provided by Energy Recovery Ventilators. Like the geothermal system, the ventilation system will be decentralized in order to increase energy efficiency by reducing ductwork and optimizing the amount of air each unit treats and transports. This decentralized approach increases resiliency by providing multiple units so that the entire building is not affected by routine maintenance or equipment failure. The ERVs will also make use of the ground source loops to assist in tempering the ventilation air and providing some dehumidification in the summer.</v>
          </cell>
          <cell r="AI46" t="str">
            <v>On Site</v>
          </cell>
          <cell r="AJ46" t="str">
            <v>Continuous exterior insulation will be selected to prioritize low embodied carbon content alongside cost and performance. High-performance windows and doors are integral components of the continuous thermal and airtight boundaries. Because of the building’s density, the high internal heat gains make achieving the cooling loads the limiting factor in achieving the PH standard. To limit the external heat gains, the building uses external shades and internal blinds as well as deep, staggered balconies over windows and glazed doors on the East and West facades and stacked balconies on the North and South facades. This strategy of
intentional self-shading blocks unwanted heat gains while still allowing daylight and views in addition to providing a private exterior amenity space. In addition to the articulation of the façade, the U-shaped massing of the building provides self-shading to the East Façade. The thin
section created by each wing allows for daylight penetration. Integration with the existing woods to the East and strategic new tree planting will provide seasonal shade and site cooling. A partially vegetated roof on the second-floor podium provides an amenity space, reduces the heat island effect, slows stormwater flow, and extends the life of the drainage surface below.</v>
          </cell>
          <cell r="AK46" t="str">
            <v>Domestic Hot Water will also be provided by the closed loop geothermal heat pump system. Waste heat from the compressor’s space heating and cooling cycle will be transferred to the domestic water supply by an integrated desuperheater (double walled heat exchanger). Supplementary heating will be supplied by on-demand electric heaters whose energy use will be offset by the on-site photovoltaic system. Each residential floor will have its own recirculating hot water loop to minimize internal heat gains. The DHW system will be designed to minimize the length of the recirculating hot water loop and we will explore the feasibility of “pipe within a pipe” recirculating systems that can increase the efficiency of hot water delivery, reduce internal heat gains, and reduce the amount of material needed thereby reducing the energy need to heat and transport water, the energy needed to cool the building and the embodied carbon footprint of the project. Decentralizing the DHW system also increases the building’s resiliency. If/when one heat pump or heat exchanger needs maintenance, only some units will be affected instead of the entire building.</v>
          </cell>
          <cell r="AL46">
            <v>3228959</v>
          </cell>
          <cell r="AM46" t="str">
            <v xml:space="preserve">Solar PV onsite owned </v>
          </cell>
          <cell r="AN46" t="str">
            <v>Solar PV, Ground Source Heat Pump, Heat Pump Dryers, Induction Cooktops</v>
          </cell>
          <cell r="AO46">
            <v>158271</v>
          </cell>
          <cell r="AP46">
            <v>97271</v>
          </cell>
          <cell r="AQ46">
            <v>1</v>
          </cell>
          <cell r="AR46">
            <v>5</v>
          </cell>
          <cell r="AS46">
            <v>96</v>
          </cell>
          <cell r="AT46" t="str">
            <v>Phius</v>
          </cell>
          <cell r="AU46" t="str">
            <v>Capital Region</v>
          </cell>
          <cell r="AV46" t="str">
            <v>All Electric</v>
          </cell>
          <cell r="AW46" t="str">
            <v>Market Rate</v>
          </cell>
          <cell r="AX46" t="str">
            <v>Yes</v>
          </cell>
          <cell r="AY46" t="str">
            <v>Wood Frame Over Podium</v>
          </cell>
          <cell r="AZ46" t="str">
            <v>GSHP</v>
          </cell>
          <cell r="BA46" t="str">
            <v>ERV</v>
          </cell>
          <cell r="BB46" t="str">
            <v>GSHP</v>
          </cell>
          <cell r="BC46" t="str">
            <v>Yes</v>
          </cell>
          <cell r="BD46" t="str">
            <v>Mid Rise</v>
          </cell>
          <cell r="BE46" t="str">
            <v>PV</v>
          </cell>
          <cell r="BF46" t="str">
            <v>No</v>
          </cell>
          <cell r="BG46" t="str">
            <v>Yes</v>
          </cell>
          <cell r="BH46" t="str">
            <v>No</v>
          </cell>
          <cell r="BI46" t="str">
            <v>No</v>
          </cell>
          <cell r="BJ46">
            <v>5</v>
          </cell>
          <cell r="BK46" t="str">
            <v>No</v>
          </cell>
          <cell r="BL46" t="str">
            <v>NC</v>
          </cell>
          <cell r="BM46" t="str">
            <v>2019 ECC NYS</v>
          </cell>
          <cell r="BN46" t="str">
            <v>Net Zero Energy</v>
          </cell>
          <cell r="BP46">
            <v>1648.65625</v>
          </cell>
          <cell r="BQ46" t="str">
            <v>No</v>
          </cell>
          <cell r="BS46" t="str">
            <v>Yes</v>
          </cell>
          <cell r="BV46" t="str">
            <v>The economic upsides of passive, net-zero housing are distributed between owner and residents. Savings from submetering energy and rent premiums will be utilized by RDC to
offset higher first costs while offering tenants a total occupancy cost (rent plus utilities) comparable to conventional (code-compliant) market-rate apartment buildings with similar amenities, services and finish quality.</v>
          </cell>
          <cell r="BX46">
            <v>3035189</v>
          </cell>
          <cell r="BY46">
            <v>0</v>
          </cell>
          <cell r="BZ46">
            <v>1</v>
          </cell>
          <cell r="CB46">
            <v>0</v>
          </cell>
          <cell r="CF46">
            <v>0</v>
          </cell>
          <cell r="CG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t="e">
            <v>#DIV/0!</v>
          </cell>
          <cell r="DO46">
            <v>0</v>
          </cell>
          <cell r="DP46">
            <v>0</v>
          </cell>
          <cell r="DQ46" t="e">
            <v>#DIV/0!</v>
          </cell>
          <cell r="DR46" t="e">
            <v>#DIV/0!</v>
          </cell>
          <cell r="DS46">
            <v>0</v>
          </cell>
          <cell r="DT46">
            <v>0</v>
          </cell>
          <cell r="DU46">
            <v>0</v>
          </cell>
          <cell r="DV46" t="e">
            <v>#DIV/0!</v>
          </cell>
          <cell r="EL46">
            <v>0</v>
          </cell>
          <cell r="EP46" t="e">
            <v>#DIV/0!</v>
          </cell>
          <cell r="EQ46" t="e">
            <v>#DIV/0!</v>
          </cell>
          <cell r="ER46">
            <v>0</v>
          </cell>
          <cell r="ES46">
            <v>0</v>
          </cell>
          <cell r="ET46">
            <v>0</v>
          </cell>
          <cell r="EU46" t="e">
            <v>#DIV/0!</v>
          </cell>
          <cell r="EV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v>0</v>
          </cell>
          <cell r="FK46" t="str">
            <v>Upstate</v>
          </cell>
          <cell r="FL46" t="str">
            <v>National Grid</v>
          </cell>
          <cell r="FM46" t="str">
            <v>National Grid</v>
          </cell>
          <cell r="FN46" t="e">
            <v>#DIV/0!</v>
          </cell>
          <cell r="FO46" t="e">
            <v>#DIV/0!</v>
          </cell>
        </row>
        <row r="47">
          <cell r="C47" t="str">
            <v>The Rise</v>
          </cell>
          <cell r="D47">
            <v>246757</v>
          </cell>
          <cell r="E47" t="str">
            <v>Xenolith Partners</v>
          </cell>
          <cell r="F47" t="str">
            <v>Bright Power, Inc.</v>
          </cell>
          <cell r="G47" t="str">
            <v>fvilla@maparchitects.com</v>
          </cell>
          <cell r="H47" t="str">
            <v>YES</v>
          </cell>
          <cell r="I47" t="str">
            <v>Milestone 1</v>
          </cell>
          <cell r="J47" t="str">
            <v>Early Design</v>
          </cell>
          <cell r="K47">
            <v>34264241</v>
          </cell>
          <cell r="L47">
            <v>660.03438300964467</v>
          </cell>
          <cell r="M47" t="str">
            <v>Replicability tab in workbook states 8% comparable construction cost</v>
          </cell>
          <cell r="N47">
            <v>2644526.53938324</v>
          </cell>
          <cell r="O47">
            <v>34.938915832781611</v>
          </cell>
          <cell r="P47">
            <v>5.2934993588464423E-2</v>
          </cell>
          <cell r="Q47">
            <v>1279680</v>
          </cell>
          <cell r="R47">
            <v>3.7347390826488761E-2</v>
          </cell>
          <cell r="S47">
            <v>1364846.53938324</v>
          </cell>
          <cell r="T47">
            <v>18.506094667702861</v>
          </cell>
          <cell r="U47">
            <v>2.8038076718546408E-2</v>
          </cell>
          <cell r="V47">
            <v>0</v>
          </cell>
          <cell r="Y47">
            <v>1000000</v>
          </cell>
          <cell r="Z47">
            <v>260000</v>
          </cell>
          <cell r="AA47">
            <v>40000</v>
          </cell>
          <cell r="AF47">
            <v>1188</v>
          </cell>
          <cell r="AG47" t="str">
            <v>As part of this project’s electrified design, VRF air sourced heat pumps will provide space heating and cooling throughout the building. The system will efficiently enhance comfort by moderating refrigerant
12
flow to units, delivering cooled air and heat to different zones simultaneously. By integrating both systems and therefore reducing the amount of equipment required, the VRF system’s compact design allows for installation flexibility and optimal usable space in the building.</v>
          </cell>
          <cell r="AH47" t="str">
            <v>A central ventilation system with fully balanced ERVs and MERV 13 filters will continuously provide fresh air to occupants while achieving low heating and cooling loads. The ERVs will recover more than 80% of energy and 60% of humidity with thermally controlled summer bypass. For added efficiency, mechanical dampers will be installed for common area rooms and controlled by occupancy sensors such that flow will be reduced to 0 CFM or code minimum levels if unoccupied.</v>
          </cell>
          <cell r="AI47" t="str">
            <v>On Site</v>
          </cell>
          <cell r="AJ47" t="str">
            <v>triple-pane windows with low U-values and SHGC will optimize solar heat gains without overheating. Moreover, operable windows will allow for passive cooling and additional ventilation.
The robust thermal envelope combined with balanced ventilation will provide consistent thermal comfort and safety for residents. Its highly insulated envelope and thermal-bridge-free design will prevent radiant heat losses through the envelope, interior local cold or hot spots, and drafts. Moreover, airtight construction via air barriers, sealants, and a thorough review process will prevent drafts and moisture damage to materials. This highly insulated and air-sealed envelope offers much longer lag time in thermal drift than is experienced in typical buildings. This translates to a lag on the effects of potentially absent power from the grid.
The tighter envelope will also prevent the intrusion of pests. Large accessible recycling and trash rooms on each floor, a dedicated trash collection room and subsequent route to the street via a dumbwaiter, will also provide for clean and pest free collection.</v>
          </cell>
          <cell r="AK47" t="str">
            <v>Domestic hot water is the second leading contributor to greenhouse gas emissions in the building sector and often the single largest contributor for high performance buildings. Committed to a low carbon footprint and full electrification, this project plans to utilize air-source heat pump water heaters with a central domestic hot water tank.</v>
          </cell>
          <cell r="AL47">
            <v>186892</v>
          </cell>
          <cell r="AM47" t="str">
            <v xml:space="preserve">Solar PV onsite owned </v>
          </cell>
          <cell r="AN47" t="str">
            <v xml:space="preserve">Solar PV, Air Source Heat Pumps </v>
          </cell>
          <cell r="AO47">
            <v>75690</v>
          </cell>
          <cell r="AP47">
            <v>61840</v>
          </cell>
          <cell r="AQ47">
            <v>1</v>
          </cell>
          <cell r="AR47">
            <v>7</v>
          </cell>
          <cell r="AS47">
            <v>72</v>
          </cell>
          <cell r="AT47" t="str">
            <v>PHI</v>
          </cell>
          <cell r="AU47" t="str">
            <v>NYC</v>
          </cell>
          <cell r="AV47" t="str">
            <v>All Electric</v>
          </cell>
          <cell r="AW47" t="str">
            <v>LMI</v>
          </cell>
          <cell r="AX47" t="str">
            <v>Yes</v>
          </cell>
          <cell r="AY47" t="str">
            <v>Block and Plank</v>
          </cell>
          <cell r="AZ47" t="str">
            <v>ASHP</v>
          </cell>
          <cell r="BA47" t="str">
            <v>ERV</v>
          </cell>
          <cell r="BB47" t="str">
            <v>ASHP</v>
          </cell>
          <cell r="BC47" t="str">
            <v>Yes</v>
          </cell>
          <cell r="BD47" t="str">
            <v>Mid Rise</v>
          </cell>
          <cell r="BE47" t="str">
            <v>PV</v>
          </cell>
          <cell r="BF47" t="str">
            <v>No</v>
          </cell>
          <cell r="BG47" t="str">
            <v>Yes</v>
          </cell>
          <cell r="BH47" t="str">
            <v>No</v>
          </cell>
          <cell r="BI47" t="str">
            <v>No</v>
          </cell>
          <cell r="BJ47">
            <v>4</v>
          </cell>
          <cell r="BK47" t="str">
            <v>No</v>
          </cell>
          <cell r="BL47" t="str">
            <v>NC</v>
          </cell>
          <cell r="BM47" t="str">
            <v>2019 ECC NYS</v>
          </cell>
          <cell r="BN47" t="str">
            <v>Requires Grid Power</v>
          </cell>
          <cell r="BP47">
            <v>1051.25</v>
          </cell>
          <cell r="BQ47" t="str">
            <v>Yes</v>
          </cell>
          <cell r="BR47" t="str">
            <v>Yes</v>
          </cell>
          <cell r="BS47" t="str">
            <v>No</v>
          </cell>
          <cell r="BU47" t="str">
            <v>The Rise is expected to operate more efficiently than the code building in both current conditions and 2.0°C warming. Its highly insulated assemblies, airtight design, and efficient ERV system lead to approximately 20% lower cooling demands and 34% lower cooling loads than a typical code compliant building.</v>
          </cell>
          <cell r="BV47" t="str">
            <v>The lower operating costs associated with the efficiency derived from the high-performance features of the building and the Passive House design will vastly improve project NOI by adding savings to the project and increasing the income generated by the project. The improvements will reduce maintenance costs, lower vacancy losses, and mitigate exposure to escalating utility prices – which will significantly affect cash flow and debt service coverage ratio (DSCR). Underwriting based on efficiency savings will also allow us to support additional debt service and obtain sufficient financing to complete and operate the project with the higher levels of efficiency desired and described within this submission. We anticipates that our lending partners will underwrite a portion of the projected energy savings as efficiency savings creating additional ongoing cash flow.</v>
          </cell>
          <cell r="BX47">
            <v>896624</v>
          </cell>
          <cell r="BY47">
            <v>709732</v>
          </cell>
          <cell r="BZ47">
            <v>0.20843965809525508</v>
          </cell>
          <cell r="CB47">
            <v>41011.769999999997</v>
          </cell>
          <cell r="CF47">
            <v>0.63026186780593496</v>
          </cell>
          <cell r="CG47">
            <v>10.907040002458853</v>
          </cell>
          <cell r="CH47" t="str">
            <v>M1</v>
          </cell>
          <cell r="CJ47">
            <v>2922400</v>
          </cell>
          <cell r="CK47">
            <v>2579052</v>
          </cell>
          <cell r="CL47">
            <v>300000</v>
          </cell>
          <cell r="CM47">
            <v>212800</v>
          </cell>
          <cell r="CN47">
            <v>273845</v>
          </cell>
          <cell r="CO47">
            <v>280000</v>
          </cell>
          <cell r="CP47">
            <v>0</v>
          </cell>
          <cell r="CQ47">
            <v>0</v>
          </cell>
          <cell r="CR47">
            <v>260966</v>
          </cell>
          <cell r="CS47">
            <v>43128939.450000003</v>
          </cell>
          <cell r="CT47">
            <v>49958002.450000003</v>
          </cell>
          <cell r="CU47">
            <v>-279680</v>
          </cell>
          <cell r="CV47">
            <v>0</v>
          </cell>
          <cell r="CW47">
            <v>0</v>
          </cell>
          <cell r="CX47">
            <v>0</v>
          </cell>
          <cell r="CY47">
            <v>0</v>
          </cell>
          <cell r="CZ47">
            <v>0</v>
          </cell>
          <cell r="DA47">
            <v>0</v>
          </cell>
          <cell r="DB47">
            <v>-279680</v>
          </cell>
          <cell r="DC47">
            <v>-1000000</v>
          </cell>
          <cell r="DD47">
            <v>0</v>
          </cell>
          <cell r="DE47">
            <v>0</v>
          </cell>
          <cell r="DF47">
            <v>0</v>
          </cell>
          <cell r="DG47">
            <v>0</v>
          </cell>
          <cell r="DH47">
            <v>0</v>
          </cell>
          <cell r="DI47">
            <v>0</v>
          </cell>
          <cell r="DJ47">
            <v>48678322.450000003</v>
          </cell>
          <cell r="DK47">
            <v>38.610120227242703</v>
          </cell>
          <cell r="DL47">
            <v>34.073880301228698</v>
          </cell>
          <cell r="DM47">
            <v>3.2593372472742197</v>
          </cell>
          <cell r="DN47">
            <v>71.257592637430676</v>
          </cell>
          <cell r="DO47">
            <v>1.4652580099736747</v>
          </cell>
          <cell r="DP47">
            <v>2.8764030407394849</v>
          </cell>
          <cell r="DQ47">
            <v>1.1331295375199879</v>
          </cell>
          <cell r="DR47">
            <v>2.6288498362169833E-2</v>
          </cell>
          <cell r="DS47">
            <v>660.03438300964467</v>
          </cell>
          <cell r="DT47">
            <v>643.12752609327526</v>
          </cell>
          <cell r="DU47">
            <v>6829063</v>
          </cell>
          <cell r="DV47">
            <v>0.1366960780074184</v>
          </cell>
          <cell r="DW47">
            <v>2522880</v>
          </cell>
          <cell r="DX47">
            <v>1533240</v>
          </cell>
          <cell r="DY47">
            <v>45000</v>
          </cell>
          <cell r="DZ47">
            <v>180000</v>
          </cell>
          <cell r="EA47">
            <v>0</v>
          </cell>
          <cell r="EB47">
            <v>135000</v>
          </cell>
          <cell r="EC47">
            <v>0</v>
          </cell>
          <cell r="ED47">
            <v>14760</v>
          </cell>
          <cell r="EE47">
            <v>220500</v>
          </cell>
          <cell r="EF47">
            <v>42662095.910616763</v>
          </cell>
          <cell r="EG47">
            <v>47313475.910616763</v>
          </cell>
          <cell r="EH47">
            <v>0</v>
          </cell>
          <cell r="EI47">
            <v>0</v>
          </cell>
          <cell r="EJ47">
            <v>0</v>
          </cell>
          <cell r="EK47">
            <v>47313475.910616763</v>
          </cell>
          <cell r="EL47">
            <v>33.331747919143879</v>
          </cell>
          <cell r="EP47">
            <v>1.6454566799718244</v>
          </cell>
          <cell r="EQ47">
            <v>0</v>
          </cell>
          <cell r="ER47">
            <v>625.09546717686305</v>
          </cell>
          <cell r="ES47">
            <v>625.09546717686305</v>
          </cell>
          <cell r="ET47">
            <v>4651380</v>
          </cell>
          <cell r="EU47">
            <v>9.8309834787603675E-2</v>
          </cell>
          <cell r="EV47">
            <v>399520</v>
          </cell>
          <cell r="EW47">
            <v>1045812</v>
          </cell>
          <cell r="EX47">
            <v>255000</v>
          </cell>
          <cell r="EY47">
            <v>32800</v>
          </cell>
          <cell r="EZ47">
            <v>273845</v>
          </cell>
          <cell r="FA47">
            <v>145000</v>
          </cell>
          <cell r="FB47">
            <v>0</v>
          </cell>
          <cell r="FC47">
            <v>-14760</v>
          </cell>
          <cell r="FD47">
            <v>40466</v>
          </cell>
          <cell r="FE47">
            <v>466843.53938324004</v>
          </cell>
          <cell r="FF47">
            <v>2644526.53938324</v>
          </cell>
          <cell r="FG47">
            <v>-279680</v>
          </cell>
          <cell r="FH47">
            <v>-1000000</v>
          </cell>
          <cell r="FI47">
            <v>0</v>
          </cell>
          <cell r="FJ47">
            <v>1364846.53938324</v>
          </cell>
          <cell r="FK47" t="str">
            <v>Downstate</v>
          </cell>
          <cell r="FL47" t="str">
            <v>ConEd</v>
          </cell>
          <cell r="FM47" t="str">
            <v>N/A</v>
          </cell>
          <cell r="FN47">
            <v>5.2934993588464423E-2</v>
          </cell>
          <cell r="FO47">
            <v>2.8038076718546408E-2</v>
          </cell>
        </row>
        <row r="48">
          <cell r="C48" t="str">
            <v>Solara Apartments Phase III</v>
          </cell>
          <cell r="D48">
            <v>248255</v>
          </cell>
          <cell r="E48" t="str">
            <v>Bruns Realty Group, LLC</v>
          </cell>
          <cell r="F48" t="str">
            <v>Black Mountain Architecture</v>
          </cell>
          <cell r="G48" t="str">
            <v>jesse@blackmountainarchitecture.com</v>
          </cell>
          <cell r="H48" t="str">
            <v>Yes</v>
          </cell>
          <cell r="I48" t="str">
            <v>Milestone 3</v>
          </cell>
          <cell r="J48" t="str">
            <v>Under Construction</v>
          </cell>
          <cell r="K48">
            <v>13055750.949999999</v>
          </cell>
          <cell r="L48">
            <v>141.16767170537605</v>
          </cell>
          <cell r="M48" t="str">
            <v>Replicability tab in workbook states 15% comparable construction cost</v>
          </cell>
          <cell r="N48">
            <v>1470000</v>
          </cell>
          <cell r="O48">
            <v>17.556593032308282</v>
          </cell>
          <cell r="P48">
            <v>0.12436695186805775</v>
          </cell>
          <cell r="Q48">
            <v>1753300</v>
          </cell>
          <cell r="R48">
            <v>0.13429330926383826</v>
          </cell>
          <cell r="S48">
            <v>-129596.05000000075</v>
          </cell>
          <cell r="T48">
            <v>-1.6186553449023027</v>
          </cell>
          <cell r="U48">
            <v>-1.1466189994834772E-2</v>
          </cell>
          <cell r="V48">
            <v>144000</v>
          </cell>
          <cell r="Y48">
            <v>750000</v>
          </cell>
          <cell r="Z48">
            <v>231200</v>
          </cell>
          <cell r="AA48">
            <v>152250</v>
          </cell>
          <cell r="AB48">
            <v>79443</v>
          </cell>
          <cell r="AF48">
            <v>231639</v>
          </cell>
          <cell r="AG48" t="str">
            <v>The mechanical systems are 100% fossil fuel and combustion free, utilizing electricity produced on-site to offset the annual energy consumption of the buildings, and feed excess renewable energy into the local grid. Heating and cooling will be provided by Mitsubishi air source heat pumps with a single compressor and head per apartment. The air source heat pumps allow occupants to easily adjust to changing climate conditions.</v>
          </cell>
          <cell r="AH48" t="str">
            <v>Each apartment will have its own individual Energy Recovery Ventilation (ERV) unit located in the corridor ceiling for ease of maintenance (cleaning filters, etc.). Individual mechanical systems in each apartment provide additional resiliency in case of repair or failure.</v>
          </cell>
          <cell r="AI48" t="str">
            <v>On Site</v>
          </cell>
          <cell r="AJ48" t="str">
            <v>The energy efficiency of the design centers around an air-tight envelope expected to attain an air-tightness of 0.05 cfm50/sf. The slab is insulated with R-10 of EPS rigid foam, including under the internal footings, and uses an insulation break to isolate the slab from the stem walls. The exterior wall assembly consists of vinyl siding with a 3/4” drainage cavity, 5/8” ZIP sheathing, and 12” of dense-pack cellulose insulation within the double stud wood framed walls (R-42). The interior finish will consist of vapor-retardant paint on USG Ecosmart Gypsum Board (20% less carbon intensive than standard wallboard). The roof assembly includes 18” of loose-fill cellulose insulation within a vented mini-attic (R-64). Particular attention has been paid to reducing the number of penetrations in the building envelope for plumbing, exhaust, and fresh air inlets. Windows are single hung, double pane units with 180 LoE 189 Argon glazing from Paradigm with a solar heat gain coefficient of 0.52. Fixed sun shades on the south elevation reduce heat gain from the windows. The building Energy Use Intensity is projected to be 16.0 kBTU/square foot/year, a reduction of 7% from Phase II.</v>
          </cell>
          <cell r="AK48" t="str">
            <v>Hot water will be delivered via a high efficiency distribution system with a recirculation loop to minimize the amount of water wasted while waiting for hot water to arrive at the fixture. The hot water is generated by solar thermal panels on the roof of each building, with a 1,200 gallon insulated storage tank in the first floor mechanical room, supplemented by two air to water heat pumps. This minimizes hot water heating loads to only 19% of total energy demand. Electricity will be produced on-site using photovoltaic carport arrays, 145 kW per building (6.1 kW per apartment), which doubles as covered parking and includes free-to-use EV charging stations.</v>
          </cell>
          <cell r="AL48">
            <v>1764384257</v>
          </cell>
          <cell r="AM48" t="str">
            <v xml:space="preserve">Solar PV onsite owned </v>
          </cell>
          <cell r="AN48" t="str">
            <v>Air Source Heat Pump, Solar thermal plus air to water heat pump, Solar PV</v>
          </cell>
          <cell r="AO48">
            <v>92484</v>
          </cell>
          <cell r="AP48">
            <v>92484</v>
          </cell>
          <cell r="AQ48">
            <v>3</v>
          </cell>
          <cell r="AR48">
            <v>3</v>
          </cell>
          <cell r="AS48">
            <v>72</v>
          </cell>
          <cell r="AT48" t="str">
            <v>ERI</v>
          </cell>
          <cell r="AU48" t="str">
            <v>Capital Region</v>
          </cell>
          <cell r="AV48" t="str">
            <v>All Electric</v>
          </cell>
          <cell r="AW48" t="str">
            <v>Market Rate</v>
          </cell>
          <cell r="AX48" t="str">
            <v>Yes</v>
          </cell>
          <cell r="AY48" t="str">
            <v>Wood Frame</v>
          </cell>
          <cell r="AZ48" t="str">
            <v>Minisplit - ASHP</v>
          </cell>
          <cell r="BA48" t="str">
            <v>ERV</v>
          </cell>
          <cell r="BB48" t="str">
            <v>Solar Thermal</v>
          </cell>
          <cell r="BC48" t="str">
            <v>Yes</v>
          </cell>
          <cell r="BD48" t="str">
            <v>Low Rise</v>
          </cell>
          <cell r="BE48" t="str">
            <v>PV</v>
          </cell>
          <cell r="BF48" t="str">
            <v>Yes</v>
          </cell>
          <cell r="BG48" t="str">
            <v>Yes</v>
          </cell>
          <cell r="BH48" t="str">
            <v>No</v>
          </cell>
          <cell r="BI48" t="str">
            <v>ASHP</v>
          </cell>
          <cell r="BJ48">
            <v>5</v>
          </cell>
          <cell r="BK48" t="str">
            <v>No</v>
          </cell>
          <cell r="BL48" t="str">
            <v>NC</v>
          </cell>
          <cell r="BM48" t="str">
            <v>2019 ECC NYS</v>
          </cell>
          <cell r="BN48" t="str">
            <v>Net Zero Energy</v>
          </cell>
          <cell r="BP48">
            <v>1284.5</v>
          </cell>
          <cell r="BQ48" t="str">
            <v>No</v>
          </cell>
          <cell r="BS48" t="str">
            <v>No</v>
          </cell>
          <cell r="BU48" t="str">
            <v>Being a net zero project, all of the development’s annual energy needs are offset by renewable production. The energy efficient design of the building makes it such that the cost of the PV panels required to meet the net zero goal is relatively small. In addition, the energy efficient design also reduces the size and cost of mechanical systems. For example, heating and cooling with a single head mini split heat pump becomes possible, eliminating the need for ducts. The smaller mini split units are also the most efficient.</v>
          </cell>
          <cell r="BV48" t="str">
            <v>There are two rental premiums that will be added to the asking rent, beyond market rent, for the net zero concept: 1) A $0.15/month/SF charge for the cost of utilities and 2) A $0.02/month/SF for the “eco-friendly” factor of the apartments. For the tenants, the cost of renting is equivalent to similar rentals in the area, when utility costs are included. For the owner, producing all the energy required on-site makes the cost to operate the buildings much more predictable. In addition, because escalating utility rates can be reflected in rent increases, the fixed cost of on-site renewable generation will add increasing value as utility rates rise over time.</v>
          </cell>
          <cell r="BX48">
            <v>1457402</v>
          </cell>
          <cell r="BY48">
            <v>339276</v>
          </cell>
          <cell r="BZ48">
            <v>0.76720493041727678</v>
          </cell>
          <cell r="CB48">
            <v>0</v>
          </cell>
          <cell r="CF48">
            <v>0</v>
          </cell>
          <cell r="CG48">
            <v>3.6684831970935514</v>
          </cell>
          <cell r="CH48" t="str">
            <v>M3</v>
          </cell>
          <cell r="CJ48">
            <v>575523</v>
          </cell>
          <cell r="CK48">
            <v>1158315</v>
          </cell>
          <cell r="CL48">
            <v>60000</v>
          </cell>
          <cell r="CM48">
            <v>293556</v>
          </cell>
          <cell r="CN48">
            <v>678000</v>
          </cell>
          <cell r="CO48">
            <v>51000</v>
          </cell>
          <cell r="CP48">
            <v>45000</v>
          </cell>
          <cell r="CQ48">
            <v>22372</v>
          </cell>
          <cell r="CR48">
            <v>131321</v>
          </cell>
          <cell r="CS48">
            <v>10040663.949999999</v>
          </cell>
          <cell r="CT48">
            <v>13055750.949999999</v>
          </cell>
          <cell r="CU48">
            <v>-172000</v>
          </cell>
          <cell r="CV48">
            <v>-209250</v>
          </cell>
          <cell r="CW48">
            <v>0</v>
          </cell>
          <cell r="CX48">
            <v>-78000</v>
          </cell>
          <cell r="CY48">
            <v>0</v>
          </cell>
          <cell r="CZ48">
            <v>0</v>
          </cell>
          <cell r="DA48">
            <v>-128250</v>
          </cell>
          <cell r="DB48">
            <v>-587500</v>
          </cell>
          <cell r="DC48">
            <v>-750000</v>
          </cell>
          <cell r="DD48">
            <v>0</v>
          </cell>
          <cell r="DE48">
            <v>-55800</v>
          </cell>
          <cell r="DF48">
            <v>0</v>
          </cell>
          <cell r="DG48">
            <v>0</v>
          </cell>
          <cell r="DH48">
            <v>-360000</v>
          </cell>
          <cell r="DI48">
            <v>-415800</v>
          </cell>
          <cell r="DJ48">
            <v>11302450.949999999</v>
          </cell>
          <cell r="DK48">
            <v>6.2229466718567537</v>
          </cell>
          <cell r="DL48">
            <v>12.524490722719605</v>
          </cell>
          <cell r="DM48">
            <v>0.39489653506719491</v>
          </cell>
          <cell r="DN48" t="e">
            <v>#DIV/0!</v>
          </cell>
          <cell r="DO48">
            <v>0.60637173270275446</v>
          </cell>
          <cell r="DP48">
            <v>0.79478071252818372</v>
          </cell>
          <cell r="DQ48">
            <v>0.49686225249608268</v>
          </cell>
          <cell r="DR48">
            <v>0.15512564555743549</v>
          </cell>
          <cell r="DS48">
            <v>141.16767170537605</v>
          </cell>
          <cell r="DT48">
            <v>122.20979791099001</v>
          </cell>
          <cell r="DU48">
            <v>3015087</v>
          </cell>
          <cell r="DV48">
            <v>0.23093937771538145</v>
          </cell>
          <cell r="DW48">
            <v>575523</v>
          </cell>
          <cell r="DX48">
            <v>954315</v>
          </cell>
          <cell r="DY48">
            <v>57600</v>
          </cell>
          <cell r="DZ48">
            <v>275556</v>
          </cell>
          <cell r="EA48">
            <v>0</v>
          </cell>
          <cell r="EB48">
            <v>45000</v>
          </cell>
          <cell r="EC48">
            <v>0</v>
          </cell>
          <cell r="ED48">
            <v>0</v>
          </cell>
          <cell r="EE48">
            <v>294662</v>
          </cell>
          <cell r="EF48">
            <v>9229391</v>
          </cell>
          <cell r="EG48">
            <v>11432047</v>
          </cell>
          <cell r="EH48">
            <v>0</v>
          </cell>
          <cell r="EI48">
            <v>0</v>
          </cell>
          <cell r="EJ48">
            <v>0</v>
          </cell>
          <cell r="EK48">
            <v>11432047</v>
          </cell>
          <cell r="EL48">
            <v>6.2229466718567537</v>
          </cell>
          <cell r="EP48">
            <v>0.60307445654736647</v>
          </cell>
          <cell r="EQ48">
            <v>0</v>
          </cell>
          <cell r="ER48">
            <v>123.61107867306778</v>
          </cell>
          <cell r="ES48">
            <v>123.61107867306778</v>
          </cell>
          <cell r="ET48">
            <v>2202656</v>
          </cell>
          <cell r="EU48">
            <v>0.19267380548732874</v>
          </cell>
          <cell r="EV48">
            <v>0</v>
          </cell>
          <cell r="EW48">
            <v>204000</v>
          </cell>
          <cell r="EX48">
            <v>2400</v>
          </cell>
          <cell r="EY48">
            <v>18000</v>
          </cell>
          <cell r="EZ48">
            <v>678000</v>
          </cell>
          <cell r="FA48">
            <v>6000</v>
          </cell>
          <cell r="FB48">
            <v>45000</v>
          </cell>
          <cell r="FC48">
            <v>22372</v>
          </cell>
          <cell r="FD48">
            <v>-163341</v>
          </cell>
          <cell r="FE48">
            <v>811272.94999999925</v>
          </cell>
          <cell r="FF48">
            <v>1623703.9499999993</v>
          </cell>
          <cell r="FG48">
            <v>-587500</v>
          </cell>
          <cell r="FH48">
            <v>-750000</v>
          </cell>
          <cell r="FI48">
            <v>-415800</v>
          </cell>
          <cell r="FJ48">
            <v>-129596.05000000075</v>
          </cell>
          <cell r="FK48" t="str">
            <v>Upstate</v>
          </cell>
          <cell r="FL48" t="str">
            <v>National Grid</v>
          </cell>
          <cell r="FM48" t="str">
            <v>National Grid</v>
          </cell>
          <cell r="FN48">
            <v>0.12436695186805775</v>
          </cell>
          <cell r="FO48">
            <v>-1.1466189994834772E-2</v>
          </cell>
        </row>
        <row r="49">
          <cell r="C49" t="str">
            <v>The Seventy Six Building C</v>
          </cell>
          <cell r="D49">
            <v>248238</v>
          </cell>
          <cell r="E49" t="str">
            <v>South End Development LLC</v>
          </cell>
          <cell r="F49" t="str">
            <v>Garrison-Architects</v>
          </cell>
          <cell r="G49" t="str">
            <v>tranchina@garrisonarchitects.com</v>
          </cell>
          <cell r="H49" t="str">
            <v>Sent</v>
          </cell>
          <cell r="I49" t="str">
            <v>Proposal</v>
          </cell>
          <cell r="J49" t="str">
            <v>Early Design</v>
          </cell>
          <cell r="K49">
            <v>28948157</v>
          </cell>
          <cell r="L49">
            <v>373</v>
          </cell>
          <cell r="M49" t="str">
            <v>Replicability tab in workbook states N/A comparable construction cost</v>
          </cell>
          <cell r="N49">
            <v>0</v>
          </cell>
          <cell r="O49">
            <v>0</v>
          </cell>
          <cell r="P49">
            <v>0</v>
          </cell>
          <cell r="Q49">
            <v>1240800</v>
          </cell>
          <cell r="R49">
            <v>4.2862832338514678E-2</v>
          </cell>
          <cell r="S49">
            <v>-1240800</v>
          </cell>
          <cell r="T49">
            <v>-15.987836462265975</v>
          </cell>
          <cell r="U49">
            <v>-4.2862832338514678E-2</v>
          </cell>
          <cell r="V49">
            <v>0</v>
          </cell>
          <cell r="Y49">
            <v>1000000</v>
          </cell>
          <cell r="Z49">
            <v>240800</v>
          </cell>
          <cell r="AG49" t="str">
            <v>Ground Source Heat Pump</v>
          </cell>
          <cell r="AH49" t="str">
            <v>It has worked to achieve ever greater levels of energy efficiency and carbon neutrality through the use of passive ventilation
Listed as ERV as consistancy with the round 1 project is assumed</v>
          </cell>
          <cell r="AI49" t="str">
            <v>Modular</v>
          </cell>
          <cell r="AJ49" t="str">
            <v>The passive building envelope will be roughly as follows:
Component
Thermal Quality
Roof
~R-50
Above grade walls
~R-30
Windows
U:0.16; SHGC:0.38
Doors
~R-10
Foundation walls
~R-20
Slab
~R-20
Shading
Exterior façade shading and intentional window orientations to minimize solar heat gain
Capitalizing on the building massing and density, the design next makes use of thermodynamics and physics to actualize passive strategies such as central cores for passive stack-driven</v>
          </cell>
          <cell r="AK49" t="str">
            <v>The thermal energy production from the Sundrum Hybrid System will be used to preheat the domestic hot water (DHW) system with an indirect-type pump-circulation system in conjunction with a geothermal ground-source heat pump (GSHP), water-to-water Variable Refrigerant Flow (VRF) heat pump and a double wall plate heat exchanger.</v>
          </cell>
          <cell r="AL49">
            <v>816099</v>
          </cell>
          <cell r="AM49" t="str">
            <v xml:space="preserve">Solar PV onsite  </v>
          </cell>
          <cell r="AN49" t="str">
            <v>Ground Source Heat pump, Solar PV, Induction cooktops</v>
          </cell>
          <cell r="AO49">
            <v>77609</v>
          </cell>
          <cell r="AP49">
            <v>68769</v>
          </cell>
          <cell r="AQ49">
            <v>1</v>
          </cell>
          <cell r="AR49">
            <v>7</v>
          </cell>
          <cell r="AS49">
            <v>69</v>
          </cell>
          <cell r="AT49" t="str">
            <v>Phius</v>
          </cell>
          <cell r="AU49" t="str">
            <v>Capital Region</v>
          </cell>
          <cell r="AV49" t="str">
            <v>All Electric</v>
          </cell>
          <cell r="AW49" t="str">
            <v>LMI</v>
          </cell>
          <cell r="AX49" t="str">
            <v>Yes</v>
          </cell>
          <cell r="AY49" t="str">
            <v>Modular</v>
          </cell>
          <cell r="AZ49" t="str">
            <v>GSHP</v>
          </cell>
          <cell r="BA49" t="str">
            <v>ERV</v>
          </cell>
          <cell r="BB49" t="str">
            <v>Solar Thermal</v>
          </cell>
          <cell r="BC49" t="str">
            <v>Yes</v>
          </cell>
          <cell r="BD49" t="str">
            <v>Mid Rise</v>
          </cell>
          <cell r="BE49" t="str">
            <v>PV</v>
          </cell>
          <cell r="BF49" t="str">
            <v>Yes</v>
          </cell>
          <cell r="BG49" t="str">
            <v>Yes</v>
          </cell>
          <cell r="BH49" t="str">
            <v>No</v>
          </cell>
          <cell r="BI49" t="str">
            <v>GSHP</v>
          </cell>
          <cell r="BJ49">
            <v>5</v>
          </cell>
          <cell r="BK49" t="str">
            <v>No</v>
          </cell>
          <cell r="BL49" t="str">
            <v>NC</v>
          </cell>
          <cell r="BM49" t="str">
            <v>2019 ECC NYS</v>
          </cell>
          <cell r="BN49" t="str">
            <v>Net Zero Energy</v>
          </cell>
          <cell r="BP49">
            <v>1124.768115942029</v>
          </cell>
          <cell r="BQ49" t="str">
            <v>Yes</v>
          </cell>
          <cell r="BS49" t="str">
            <v>Yes</v>
          </cell>
          <cell r="BX49">
            <v>2636700</v>
          </cell>
          <cell r="BY49">
            <v>0</v>
          </cell>
          <cell r="BZ49">
            <v>1</v>
          </cell>
          <cell r="CB49">
            <v>0</v>
          </cell>
          <cell r="CF49">
            <v>0</v>
          </cell>
          <cell r="CG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t="e">
            <v>#DIV/0!</v>
          </cell>
          <cell r="DO49">
            <v>0</v>
          </cell>
          <cell r="DP49">
            <v>0</v>
          </cell>
          <cell r="DQ49" t="e">
            <v>#DIV/0!</v>
          </cell>
          <cell r="DR49" t="e">
            <v>#DIV/0!</v>
          </cell>
          <cell r="DS49">
            <v>0</v>
          </cell>
          <cell r="DT49">
            <v>0</v>
          </cell>
          <cell r="DU49">
            <v>0</v>
          </cell>
          <cell r="DV49" t="e">
            <v>#DIV/0!</v>
          </cell>
          <cell r="EL49">
            <v>0</v>
          </cell>
          <cell r="EP49" t="e">
            <v>#DIV/0!</v>
          </cell>
          <cell r="EQ49" t="e">
            <v>#DIV/0!</v>
          </cell>
          <cell r="ER49">
            <v>0</v>
          </cell>
          <cell r="ES49">
            <v>0</v>
          </cell>
          <cell r="ET49">
            <v>0</v>
          </cell>
          <cell r="EU49" t="e">
            <v>#DIV/0!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t="str">
            <v>Upstate</v>
          </cell>
          <cell r="FL49" t="str">
            <v>National Grid</v>
          </cell>
          <cell r="FM49" t="str">
            <v>National Grid</v>
          </cell>
          <cell r="FN49" t="e">
            <v>#DIV/0!</v>
          </cell>
          <cell r="FO49" t="e">
            <v>#DIV/0!</v>
          </cell>
        </row>
        <row r="50">
          <cell r="C50" t="str">
            <v>Hudson Green</v>
          </cell>
          <cell r="D50">
            <v>247476</v>
          </cell>
          <cell r="E50" t="str">
            <v>Westhab, Inc.</v>
          </cell>
          <cell r="F50" t="str">
            <v>Amie Gross Architects</v>
          </cell>
          <cell r="G50" t="str">
            <v>asg@amiegrossarchitects.com</v>
          </cell>
          <cell r="I50" t="str">
            <v>Milestone 2</v>
          </cell>
          <cell r="J50" t="str">
            <v>Early Design</v>
          </cell>
          <cell r="K50">
            <v>52629322.8332</v>
          </cell>
          <cell r="L50">
            <v>435.6768088576892</v>
          </cell>
          <cell r="M50" t="str">
            <v>THE FOLLOWING IS CONSIDERED CONFIDENTIAL BY WESTHAB, INC. AND IS NOT TO BE SHARED EXTERNALLY:
The total anticipated construction cost for Hudson Hill will be $32.6 million. Incorporation of high-performance building components including variable refrigerant flow (VRF), energy recovery ventilators (ERVs), heat pump water heaters (HPWHs), increased insulation, triple pane windows, renewable energy and low-carbon materials are expected to result in a 7-12% premium compared to traditional multifamily construction meeting New York State Energy Code. In raw numbers, the total expected construction cost increase is approximately $2.2-$3.8 million compared to a similarly sized, less efficient, and less sustainable building.</v>
          </cell>
          <cell r="N50">
            <v>3800000</v>
          </cell>
          <cell r="O50">
            <v>31.156827001879165</v>
          </cell>
          <cell r="P50">
            <v>7.151362287005808E-2</v>
          </cell>
          <cell r="Q50">
            <v>1555000</v>
          </cell>
          <cell r="R50">
            <v>2.9546266535260528E-2</v>
          </cell>
          <cell r="S50">
            <v>2208713.5450000018</v>
          </cell>
          <cell r="T50">
            <v>18.840881593457716</v>
          </cell>
          <cell r="U50">
            <v>4.3245087207779184E-2</v>
          </cell>
          <cell r="V50">
            <v>0</v>
          </cell>
          <cell r="Y50">
            <v>1000000</v>
          </cell>
          <cell r="Z50">
            <v>434500</v>
          </cell>
          <cell r="AG50" t="str">
            <v>Electric variable refrigerant flow (VRF) heat pumps will be installed to meet heating and cooling loads. With loads minimized due to the highly insulated and airtight envelope, equipment sizing will be decreased to a great extent, reducing equipment first costs. VRF condensing units will be of the heat pump variety, operating either entirely in heating or entirely in cooling mode to simplify utility billing while providing ownership and tenants with the benefits of efficient mechanical equipment that does not rely on site combustion and reduces local pollution impacts.</v>
          </cell>
          <cell r="AH50" t="str">
            <v>Fresh air and exhaust ventilation requirements will be met through energy recovery ventilators (ERVs). In keeping with a growing trend in high-performance buildings, ERVs will be centralized and roof mounted, rather than decentralized within dwelling units, which will provide easier access to building staff for unit maintenance, servicing, and filter replacement.</v>
          </cell>
          <cell r="AI50" t="str">
            <v>On Site</v>
          </cell>
          <cell r="AJ50" t="str">
            <v>the team decided to incorporate a combination of 4” (~R-17) of mineral wool insulation outboard of the sheathing and 5.5” (~R-24, nominal) of sheep’s wool in the exterior stud cavities. In choosing these materials no thermal resistance was lost, and, particularly with the sheep’s wool, the design team is able to help drive the industry for low-carbon insulation materials forward.
Hudson Hill will also utilize high-performance triple-pane fiberglass windows.</v>
          </cell>
          <cell r="AK50" t="str">
            <v>domestic hot water (DHW) will be provided through electric heat pump water heaters (HPWHs). As DHW is the final and most difficult building load to electrify, Hudson Hill will be assisting in pushing the industry forward and continuing to grow the demand for electrified hot water systems, very few of which have been installed on buildings of this size in the New York metropolitan area. HPWHs will be of the air-source type, roof-mounted, with ample storage to meet the loads of the apartment units.</v>
          </cell>
          <cell r="AL50">
            <v>426500</v>
          </cell>
          <cell r="AM50" t="str">
            <v xml:space="preserve">Solar PV onsite owned </v>
          </cell>
          <cell r="AN50" t="str">
            <v>Air source heat pump, Solar PV, electric dryer, electric cooktop</v>
          </cell>
          <cell r="AO50">
            <v>120799</v>
          </cell>
          <cell r="AP50">
            <v>101142</v>
          </cell>
          <cell r="AQ50">
            <v>1</v>
          </cell>
          <cell r="AR50">
            <v>6</v>
          </cell>
          <cell r="AS50">
            <v>113</v>
          </cell>
          <cell r="AT50" t="str">
            <v>ASHRAE</v>
          </cell>
          <cell r="AU50" t="str">
            <v>Mid Hudson</v>
          </cell>
          <cell r="AV50" t="str">
            <v>All Electric</v>
          </cell>
          <cell r="AW50" t="str">
            <v>LMI</v>
          </cell>
          <cell r="AX50" t="str">
            <v>Yes</v>
          </cell>
          <cell r="AY50" t="str">
            <v>Wood Frame Over Podium</v>
          </cell>
          <cell r="AZ50" t="str">
            <v>VRF - ASHP</v>
          </cell>
          <cell r="BA50" t="str">
            <v>ERV</v>
          </cell>
          <cell r="BB50" t="str">
            <v>ASHP</v>
          </cell>
          <cell r="BC50" t="str">
            <v>Yes</v>
          </cell>
          <cell r="BD50" t="str">
            <v>Mid Rise</v>
          </cell>
          <cell r="BE50" t="str">
            <v>PV</v>
          </cell>
          <cell r="BF50" t="str">
            <v>No</v>
          </cell>
          <cell r="BG50" t="str">
            <v>Yes</v>
          </cell>
          <cell r="BH50" t="str">
            <v>No</v>
          </cell>
          <cell r="BI50" t="str">
            <v>No</v>
          </cell>
          <cell r="BJ50">
            <v>5</v>
          </cell>
          <cell r="BK50" t="str">
            <v>No</v>
          </cell>
          <cell r="BL50" t="str">
            <v>NC</v>
          </cell>
          <cell r="BM50" t="str">
            <v>2019 ECC NYS</v>
          </cell>
          <cell r="BN50" t="str">
            <v>Requires Grid Power</v>
          </cell>
          <cell r="BP50">
            <v>1069.0176991150443</v>
          </cell>
          <cell r="BQ50" t="str">
            <v>Yes</v>
          </cell>
          <cell r="BS50" t="str">
            <v>No</v>
          </cell>
          <cell r="BW50">
            <v>7066880</v>
          </cell>
          <cell r="BX50">
            <v>3064191</v>
          </cell>
          <cell r="BY50">
            <v>2637691</v>
          </cell>
          <cell r="BZ50">
            <v>0.13918845137264615</v>
          </cell>
          <cell r="CA50">
            <v>189586</v>
          </cell>
          <cell r="CB50">
            <v>166141</v>
          </cell>
          <cell r="CF50">
            <v>1.3753507893277261</v>
          </cell>
          <cell r="CG50">
            <v>21.835371153734716</v>
          </cell>
          <cell r="CH50" t="str">
            <v>M2</v>
          </cell>
          <cell r="CJ50">
            <v>2900092.81</v>
          </cell>
          <cell r="CK50">
            <v>2407694.9310000003</v>
          </cell>
          <cell r="CL50">
            <v>1545000</v>
          </cell>
          <cell r="CM50">
            <v>374147</v>
          </cell>
          <cell r="CN50">
            <v>411400</v>
          </cell>
          <cell r="CO50">
            <v>281632.424</v>
          </cell>
          <cell r="CP50">
            <v>0</v>
          </cell>
          <cell r="CQ50">
            <v>37000</v>
          </cell>
          <cell r="CR50">
            <v>1742800</v>
          </cell>
          <cell r="CS50">
            <v>42929555.668200001</v>
          </cell>
          <cell r="CT50">
            <v>52629322.8332</v>
          </cell>
          <cell r="CU50">
            <v>-434000</v>
          </cell>
          <cell r="CV50">
            <v>-121000</v>
          </cell>
          <cell r="CW50">
            <v>0</v>
          </cell>
          <cell r="CX50">
            <v>0</v>
          </cell>
          <cell r="CY50">
            <v>0</v>
          </cell>
          <cell r="CZ50">
            <v>0</v>
          </cell>
          <cell r="DA50">
            <v>0</v>
          </cell>
          <cell r="DB50">
            <v>-555000</v>
          </cell>
          <cell r="DC50">
            <v>-1000000</v>
          </cell>
          <cell r="DD50">
            <v>0</v>
          </cell>
          <cell r="DE50">
            <v>0</v>
          </cell>
          <cell r="DF50">
            <v>0</v>
          </cell>
          <cell r="DG50">
            <v>0</v>
          </cell>
          <cell r="DH50">
            <v>0</v>
          </cell>
          <cell r="DI50">
            <v>0</v>
          </cell>
          <cell r="DJ50">
            <v>51074322.8332</v>
          </cell>
          <cell r="DK50">
            <v>24.007589549582363</v>
          </cell>
          <cell r="DL50">
            <v>19.931414423960465</v>
          </cell>
          <cell r="DM50">
            <v>0.94644648783316709</v>
          </cell>
          <cell r="DN50">
            <v>17.455611859805828</v>
          </cell>
          <cell r="DO50">
            <v>0.96459554513481827</v>
          </cell>
          <cell r="DP50">
            <v>0.78575223639779646</v>
          </cell>
          <cell r="DQ50">
            <v>1.2045100783575973</v>
          </cell>
          <cell r="DR50">
            <v>3.044582705635401E-2</v>
          </cell>
          <cell r="DS50">
            <v>435.6768088576892</v>
          </cell>
          <cell r="DT50">
            <v>422.8041857399482</v>
          </cell>
          <cell r="DU50">
            <v>9699767.1649999991</v>
          </cell>
          <cell r="DV50">
            <v>0.18430347651900861</v>
          </cell>
          <cell r="DW50">
            <v>924289</v>
          </cell>
          <cell r="DX50">
            <v>1677303.6199999999</v>
          </cell>
          <cell r="DY50">
            <v>1200000</v>
          </cell>
          <cell r="DZ50">
            <v>251559</v>
          </cell>
          <cell r="EA50">
            <v>0</v>
          </cell>
          <cell r="EB50">
            <v>217802</v>
          </cell>
          <cell r="EC50">
            <v>0</v>
          </cell>
          <cell r="ED50">
            <v>4000</v>
          </cell>
          <cell r="EE50">
            <v>1661100</v>
          </cell>
          <cell r="EF50">
            <v>42929555.668200001</v>
          </cell>
          <cell r="EG50">
            <v>48865609.288199998</v>
          </cell>
          <cell r="EH50">
            <v>0</v>
          </cell>
          <cell r="EI50">
            <v>0</v>
          </cell>
          <cell r="EJ50">
            <v>0</v>
          </cell>
          <cell r="EK50">
            <v>48865609.288199998</v>
          </cell>
          <cell r="EL50">
            <v>7.6514623465426039</v>
          </cell>
          <cell r="EP50">
            <v>0.55105646287223775</v>
          </cell>
          <cell r="EQ50">
            <v>0</v>
          </cell>
          <cell r="ER50">
            <v>404.51998185581004</v>
          </cell>
          <cell r="ES50">
            <v>404.51998185581004</v>
          </cell>
          <cell r="ET50">
            <v>5936053.6200000001</v>
          </cell>
          <cell r="EU50">
            <v>0.12147712279591755</v>
          </cell>
          <cell r="EV50">
            <v>1975803.81</v>
          </cell>
          <cell r="EW50">
            <v>730391.31100000045</v>
          </cell>
          <cell r="EX50">
            <v>345000</v>
          </cell>
          <cell r="EY50">
            <v>122588</v>
          </cell>
          <cell r="EZ50">
            <v>411400</v>
          </cell>
          <cell r="FA50">
            <v>63830.423999999999</v>
          </cell>
          <cell r="FB50">
            <v>0</v>
          </cell>
          <cell r="FC50">
            <v>33000</v>
          </cell>
          <cell r="FD50">
            <v>81700</v>
          </cell>
          <cell r="FE50">
            <v>0</v>
          </cell>
          <cell r="FF50">
            <v>3763713.5450000018</v>
          </cell>
          <cell r="FG50">
            <v>-555000</v>
          </cell>
          <cell r="FH50">
            <v>-1000000</v>
          </cell>
          <cell r="FI50">
            <v>0</v>
          </cell>
          <cell r="FJ50">
            <v>2208713.5450000018</v>
          </cell>
          <cell r="FK50" t="str">
            <v>Upstate</v>
          </cell>
          <cell r="FL50" t="str">
            <v>ConEd</v>
          </cell>
          <cell r="FM50" t="str">
            <v>ConEd</v>
          </cell>
          <cell r="FN50">
            <v>7.151362287005808E-2</v>
          </cell>
          <cell r="FO50">
            <v>4.3245087207779184E-2</v>
          </cell>
        </row>
        <row r="51">
          <cell r="C51" t="str">
            <v>Baird Road Apartments R2</v>
          </cell>
          <cell r="D51">
            <v>247533</v>
          </cell>
          <cell r="E51" t="str">
            <v>PathStone Corporation</v>
          </cell>
          <cell r="F51" t="str">
            <v>Sustainable Comfort</v>
          </cell>
          <cell r="G51" t="str">
            <v>james@greenrater.com</v>
          </cell>
          <cell r="I51" t="str">
            <v>Milestone 2</v>
          </cell>
          <cell r="J51" t="str">
            <v>Early Design</v>
          </cell>
          <cell r="K51">
            <v>11329992</v>
          </cell>
          <cell r="L51">
            <v>323.66632972127877</v>
          </cell>
          <cell r="M51" t="str">
            <v>Replicability tab in workbook states 7% comparable construction cost</v>
          </cell>
          <cell r="N51">
            <v>793099.44000000006</v>
          </cell>
          <cell r="O51">
            <v>16.916504932880478</v>
          </cell>
          <cell r="P51">
            <v>5.226526017534143E-2</v>
          </cell>
          <cell r="Q51">
            <v>1556917</v>
          </cell>
          <cell r="R51">
            <v>0.13741554274707343</v>
          </cell>
          <cell r="S51">
            <v>-444594</v>
          </cell>
          <cell r="T51">
            <v>-4.3493082360712281</v>
          </cell>
          <cell r="U51">
            <v>-1.3437629548357966E-2</v>
          </cell>
          <cell r="V51">
            <v>152000</v>
          </cell>
          <cell r="Y51">
            <v>1000000</v>
          </cell>
          <cell r="Z51">
            <v>255600</v>
          </cell>
          <cell r="AG51" t="str">
            <v>All units will be served by high efficiency air source heat pumps, and the electrical load will be offset by
solar panels located on the property. Each apartment will have its own mini split heat pump to provide
individualized comfort and control for each apartment while maintaining efficiency.</v>
          </cell>
          <cell r="AH51" t="str">
            <v>The indoor air quality will be greatly enhanced through the use of energy recovery ventilation. The ERVs
will be operating continuously in each apartment. They will pull stale air from bathrooms and replace
fresh air in all rooms, while exchanging 80%+ of the energy. As a part of the Passive House program, the
project will also meet the requirements of the EPA Indoor airPLUS program to ensure materials are
selected to reduce indoor pollutants including paints, adhesives, sealants, flooring, and composite
woods. The project will also be WELL Certified demonstrating enhanced health features.</v>
          </cell>
          <cell r="AI51" t="str">
            <v>Panelized</v>
          </cell>
          <cell r="AJ51" t="str">
            <v>The insulation systems are described in detail further below, but feature a building foundation with a
shallow frost foundation J-channel wrapped in R-10 EPS insulation extending 4’ under the slab. This
insulation will tie into the Build SMART exterior wall panels which feature R-8.4 continuous EPS
insulation, an air tight layer sealed with Prosoco Joint and Seam Filler, an exterior ZIP weather barrier,
and the interior 2x6 wood stud wall cavity filled with R-21 cellulose insulation. The air barrier will extend
to the attic which will also include R-60 blown in cellulose insulation. The windows will be triple pane
windows with a comination of fixed and operable windows</v>
          </cell>
          <cell r="AK51" t="str">
            <v>The hot water will be created via heat pump water heaters located in the hallways with a single heat
pump water heater serving 4 units. By sharing a hot water heater between apartments, the distribution
can be simplified, eliminating the need for central distribution system and pumps. The single hot water
tanks will be able to serve the adjacent 4 apartments with minimal pipe distribution.</v>
          </cell>
          <cell r="AL51">
            <v>1241968</v>
          </cell>
          <cell r="AM51" t="str">
            <v xml:space="preserve">Solar PV onsite owned </v>
          </cell>
          <cell r="AN51" t="str">
            <v>Air Source Heat pump, Solar PV</v>
          </cell>
          <cell r="AO51">
            <v>74196</v>
          </cell>
          <cell r="AP51">
            <v>74196</v>
          </cell>
          <cell r="AQ51">
            <v>1</v>
          </cell>
          <cell r="AR51">
            <v>2</v>
          </cell>
          <cell r="AS51">
            <v>76</v>
          </cell>
          <cell r="AT51" t="str">
            <v>Phius</v>
          </cell>
          <cell r="AU51" t="str">
            <v>Finger Lakes</v>
          </cell>
          <cell r="AV51" t="str">
            <v>All Electric</v>
          </cell>
          <cell r="AW51" t="str">
            <v>LMI</v>
          </cell>
          <cell r="AX51" t="str">
            <v>Yes</v>
          </cell>
          <cell r="AY51" t="str">
            <v>Panelized</v>
          </cell>
          <cell r="AZ51" t="str">
            <v>Minisplit - ASHP</v>
          </cell>
          <cell r="BA51" t="str">
            <v>ERV</v>
          </cell>
          <cell r="BB51" t="str">
            <v>ASHP</v>
          </cell>
          <cell r="BC51" t="str">
            <v>Yes</v>
          </cell>
          <cell r="BD51" t="str">
            <v>Low Rise</v>
          </cell>
          <cell r="BE51" t="str">
            <v>PV</v>
          </cell>
          <cell r="BF51" t="str">
            <v>No</v>
          </cell>
          <cell r="BG51" t="str">
            <v>Yes</v>
          </cell>
          <cell r="BH51" t="str">
            <v>No</v>
          </cell>
          <cell r="BI51" t="str">
            <v>No</v>
          </cell>
          <cell r="BJ51">
            <v>5</v>
          </cell>
          <cell r="BK51" t="str">
            <v>Yes</v>
          </cell>
          <cell r="BL51" t="str">
            <v>NC</v>
          </cell>
          <cell r="BM51" t="str">
            <v>2019 ECC NYS</v>
          </cell>
          <cell r="BN51" t="str">
            <v>Net Zero Energy</v>
          </cell>
          <cell r="BP51">
            <v>976.26315789473688</v>
          </cell>
          <cell r="BQ51" t="str">
            <v>No</v>
          </cell>
          <cell r="BS51" t="str">
            <v>No</v>
          </cell>
          <cell r="BV51" t="str">
            <v>1. Increased Rental Revenue: On the Passive House project, the tenant’s pay zero utility costs.
Consequently, the owner is able to charge to the LIHTC rent maximum and net substantially
more rental revenue. This additional revenue increases the project’s net operating income and
allows the owner to support a larger mortgage.
2. Reduced Operating Expenses: The Passive House project is Net Zero Energy. The building is
100% electrified and uses no fossil fuels. The energy loads are offset by the onsite solar array.
Consequently, the owner’s utility costs are limited to the meter charges associated with each
tenant’s meters. This substantially reduces the utility costs – and the operating expenses –
Baird Road Apartments - PathStone - RFP 3928 R2 Page 18 of 104
associated with the Passive House project. The reduced operating costs also increases the
project’s net operating income.
3. Increased Low Income Housing Tax Credit Equity: The LIHTC equity is directly linked to the size
of the residential construction cost line item in the project’s development budget. The Passive
House building, for example, results in a construction cost increase of approximately 960k,
which leads to a total project cost increase of approximately $2MM.2 The increased cost,
however, generates nearly $800k in additional LIHTC equity that can be used as a funding source Note that the additional revenue generated by the Passive House project enables it to support
approximately $2.3MM in additional 1st mortgage bond debt. Moreover, the project generates tax credits
and additional grant money. Ultimately, the Passive House deal has access to $2.8MM in additional
resources. In total, it generates $2.9MM in capital than can be leveraged into the capital stack – which
effectively offsets the construction cost premium. Add to that the approximately $800k in added LIHTC
and $90k in incentives through RG&amp;E and it becomes abundantly clear that paying for the cost premium
is more than achievable.
The intention of this section is not to claim that a LIHTC deal can withstand arbitrary cost increases. It
cannot. The "Cost Comparison" section above demonstrated that with responsible planning the cost
premium associated with building a high performance building can be minimized to what we consider
to be “business as usual” construction costs. That part of the process is critical to making the deal
pencil out. The point of this section is to articulate that, generally speaking, with the funding sources
that are currently available in New York State, the developer can build a LIHTC Passive House project
with no immediate added “out of pocket” cost that needs to be recouped at a later date. The costs, when
properly mitigated, are paid for through other funding sources and not out of the developer’s pocket.
for the project.
4. Additional Resources: The Passive House project unlocks additional grants and solar tax credits
for the owner, which further offset the cost premium. For example, solar tax credits, NYSERDA
grants, and NYSERDA solar incentives. Additionally, utility companies In New York State are now
Incentivizing developers to include heat pumps into their buildings. For example, according to
NYS Clean Heat: Statewide Heat Pump Program Manual, the project will be eligible for
approximately $90k in additional resources. That will further off-set the construction cost
premium.</v>
          </cell>
          <cell r="BX51">
            <v>1241968</v>
          </cell>
          <cell r="BY51">
            <v>0</v>
          </cell>
          <cell r="BZ51">
            <v>1</v>
          </cell>
          <cell r="CB51">
            <v>19755</v>
          </cell>
          <cell r="CF51">
            <v>0.26625424551188742</v>
          </cell>
          <cell r="CG51">
            <v>0</v>
          </cell>
          <cell r="CH51" t="str">
            <v>M2</v>
          </cell>
          <cell r="CJ51">
            <v>1068480</v>
          </cell>
          <cell r="CK51">
            <v>2359448</v>
          </cell>
          <cell r="CL51">
            <v>740740</v>
          </cell>
          <cell r="CM51">
            <v>357200</v>
          </cell>
          <cell r="CN51">
            <v>679542</v>
          </cell>
          <cell r="CO51">
            <v>1711476</v>
          </cell>
          <cell r="CP51">
            <v>0</v>
          </cell>
          <cell r="CQ51">
            <v>580375</v>
          </cell>
          <cell r="CR51">
            <v>0</v>
          </cell>
          <cell r="CS51">
            <v>16517486</v>
          </cell>
          <cell r="CT51">
            <v>24014747</v>
          </cell>
          <cell r="CU51">
            <v>-304000</v>
          </cell>
          <cell r="CV51">
            <v>-110103</v>
          </cell>
          <cell r="CW51">
            <v>0</v>
          </cell>
          <cell r="CX51">
            <v>0</v>
          </cell>
          <cell r="CY51">
            <v>0</v>
          </cell>
          <cell r="CZ51">
            <v>0</v>
          </cell>
          <cell r="DA51">
            <v>0</v>
          </cell>
          <cell r="DB51">
            <v>-414103</v>
          </cell>
          <cell r="DC51">
            <v>-1000000</v>
          </cell>
          <cell r="DD51">
            <v>0</v>
          </cell>
          <cell r="DE51">
            <v>-142814</v>
          </cell>
          <cell r="DF51">
            <v>0</v>
          </cell>
          <cell r="DG51">
            <v>0</v>
          </cell>
          <cell r="DH51">
            <v>0</v>
          </cell>
          <cell r="DI51">
            <v>-142814</v>
          </cell>
          <cell r="DJ51">
            <v>22457830</v>
          </cell>
          <cell r="DK51">
            <v>14.400776322173702</v>
          </cell>
          <cell r="DL51">
            <v>31.800204862795837</v>
          </cell>
          <cell r="DM51">
            <v>0.86031202092163406</v>
          </cell>
          <cell r="DN51">
            <v>54.086560364464695</v>
          </cell>
          <cell r="DO51">
            <v>0.54714936294654937</v>
          </cell>
          <cell r="DP51">
            <v>1.8997655334114889</v>
          </cell>
          <cell r="DQ51">
            <v>0.4528516839531958</v>
          </cell>
          <cell r="DR51">
            <v>6.9326243898007955E-2</v>
          </cell>
          <cell r="DS51">
            <v>323.66632972127877</v>
          </cell>
          <cell r="DT51">
            <v>302.68248962208207</v>
          </cell>
          <cell r="DU51">
            <v>7497261</v>
          </cell>
          <cell r="DV51">
            <v>0.31219404476757551</v>
          </cell>
          <cell r="DW51">
            <v>1068480</v>
          </cell>
          <cell r="DX51">
            <v>1696262</v>
          </cell>
          <cell r="DY51">
            <v>972064</v>
          </cell>
          <cell r="DZ51">
            <v>306908</v>
          </cell>
          <cell r="EA51">
            <v>596640</v>
          </cell>
          <cell r="EB51">
            <v>1232385</v>
          </cell>
          <cell r="EC51">
            <v>2493324</v>
          </cell>
          <cell r="ED51">
            <v>580375</v>
          </cell>
          <cell r="EE51">
            <v>6430634</v>
          </cell>
          <cell r="EF51">
            <v>7525352</v>
          </cell>
          <cell r="EG51">
            <v>22902424</v>
          </cell>
          <cell r="EH51">
            <v>0</v>
          </cell>
          <cell r="EI51">
            <v>0</v>
          </cell>
          <cell r="EJ51">
            <v>-142814</v>
          </cell>
          <cell r="EK51">
            <v>22759610</v>
          </cell>
          <cell r="EL51">
            <v>14.400776322173702</v>
          </cell>
          <cell r="EP51">
            <v>0.6299026919190549</v>
          </cell>
          <cell r="EQ51">
            <v>6.2748878385877442E-3</v>
          </cell>
          <cell r="ER51">
            <v>308.67464553345195</v>
          </cell>
          <cell r="ES51">
            <v>306.74982478839831</v>
          </cell>
          <cell r="ET51">
            <v>15377072</v>
          </cell>
          <cell r="EU51">
            <v>0.67141678976862884</v>
          </cell>
          <cell r="EV51">
            <v>0</v>
          </cell>
          <cell r="EW51">
            <v>663186</v>
          </cell>
          <cell r="EX51">
            <v>-231324</v>
          </cell>
          <cell r="EY51">
            <v>50292</v>
          </cell>
          <cell r="EZ51">
            <v>82902</v>
          </cell>
          <cell r="FA51">
            <v>479091</v>
          </cell>
          <cell r="FB51">
            <v>-2493324</v>
          </cell>
          <cell r="FC51">
            <v>0</v>
          </cell>
          <cell r="FD51">
            <v>-6430634</v>
          </cell>
          <cell r="FE51">
            <v>8992134</v>
          </cell>
          <cell r="FF51">
            <v>1112323</v>
          </cell>
          <cell r="FG51">
            <v>-414103</v>
          </cell>
          <cell r="FH51">
            <v>-1000000</v>
          </cell>
          <cell r="FI51">
            <v>0</v>
          </cell>
          <cell r="FJ51">
            <v>-301780</v>
          </cell>
          <cell r="FK51" t="str">
            <v>Upstate</v>
          </cell>
          <cell r="FL51" t="str">
            <v>RG&amp;E</v>
          </cell>
          <cell r="FM51" t="str">
            <v>RG&amp;E</v>
          </cell>
          <cell r="FN51">
            <v>5.226526017534143E-2</v>
          </cell>
          <cell r="FO51">
            <v>-1.3437629548357966E-2</v>
          </cell>
        </row>
        <row r="52">
          <cell r="C52" t="str">
            <v>Dekalb Commons</v>
          </cell>
          <cell r="D52">
            <v>247866</v>
          </cell>
          <cell r="E52" t="str">
            <v>St Nicks Alliance (Formerly St Nicholas Neighborhood Preservation Corp</v>
          </cell>
          <cell r="F52" t="str">
            <v>Magnusson Architecture and Planning</v>
          </cell>
          <cell r="G52" t="str">
            <v>sbayer@maparchitects.com</v>
          </cell>
          <cell r="I52" t="str">
            <v>Milestone 1</v>
          </cell>
          <cell r="J52" t="str">
            <v>Early Design</v>
          </cell>
          <cell r="K52">
            <v>56862863.5</v>
          </cell>
          <cell r="L52">
            <v>662.79913628310328</v>
          </cell>
          <cell r="M52" t="str">
            <v>Replicability tab in workbook states 3-8% comparable construction cost</v>
          </cell>
          <cell r="N52">
            <v>23858879.5</v>
          </cell>
          <cell r="O52">
            <v>279.52815530585605</v>
          </cell>
          <cell r="P52">
            <v>0.42173886476891898</v>
          </cell>
          <cell r="Q52">
            <v>1730595</v>
          </cell>
          <cell r="R52">
            <v>3.0434538352082815E-2</v>
          </cell>
          <cell r="S52">
            <v>22128284.5</v>
          </cell>
          <cell r="T52">
            <v>267.49732723781966</v>
          </cell>
          <cell r="U52">
            <v>0.40358732019162247</v>
          </cell>
          <cell r="V52">
            <v>0</v>
          </cell>
          <cell r="Y52">
            <v>1000000</v>
          </cell>
          <cell r="Z52">
            <v>287000</v>
          </cell>
          <cell r="AG52" t="str">
            <v>The mechanical system units will be located in either the cellar or on the roof, and therefore their maintenance will be more straightforward and accessible than if they were in the apartments,
should any of them need to be serviced. In addition, the layout of the VRF system minimizes the length of refrigerant piping by locating the condensing units along the perimeter of the building. The evaporator units are also located near the exterior wall, therefore only vertical risers of refrigerant are required, and additional horizontal runs and transfers are minimized. This will reduce the potential for leaks and aid in the simplification of the maintenance of this system.</v>
          </cell>
          <cell r="AH52" t="str">
            <v>The energy recovery ventilation and airtight building enclosure design will contribute greatly to moisture management within the building and the enclosure itself. The ERV helps keep optimal humidity levels within the building, and the enclosure is vapor open while airtight, to allow drying. These measures will minimize moisture damage and mold growth, which ensures building longevity. Water is perhaps the greatest threat to durability, and mitigating hygrothermal risks in a climate with changing temperatures and humidity is critical.</v>
          </cell>
          <cell r="AI52" t="str">
            <v>On Site</v>
          </cell>
          <cell r="AJ52" t="str">
            <v>An open joint passive house rain screen is very durable in a less predictable climate. It does not rely on caulking or joints that need replacing every few years to maintain weather protection. The system design helps to equalize the pressure between the inside and outside face of the cladding material, which reduces water drive through the assembly. The air barrier is protected from weather, damage and UV by the insulation and cladding, and therefore ensures its longevity. The mineral wool insulation does not degrade in R value over time, and is resistant to mold, mildew and rot. It is hydrophobic, drainable, and does not rely on a vapor or water barrier to maintain its durability. The cladding is expected to perform at optimal levels for a very long period of time with little maintenance.
The air barrier prevents air flow from the inside to assist in drying the cladding and thus a ventilated rain screen is critical to providing drying potential of a high performing envelope. The stone/mineral wool insulation does not lose R value over time</v>
          </cell>
          <cell r="AK52" t="str">
            <v>project will also electrify Domestic Hot Water production by installing air source heat pump water heaters (HPWHs). The system will include roof-mounted condensing units which will centrally produce hot water for potable use by building residents. These systems will include storage tanks in the cellar to help ensure the heat pumps can meet the domestic hot water demand of the building, while also promoting off-peak hours DHW production. The insulated storage tanks are located in the cellar to reduce the need for structural reinforcement at the roof in this block and plank building. The piping between the two will be insulated above code levels to ensure negligible losses.</v>
          </cell>
          <cell r="AL52">
            <v>392380</v>
          </cell>
          <cell r="AM52" t="str">
            <v xml:space="preserve">Solar PV onsite owned </v>
          </cell>
          <cell r="AN52" t="str">
            <v>Air source heat pump, solar PV, electric cooktop</v>
          </cell>
          <cell r="AO52">
            <v>85792</v>
          </cell>
          <cell r="AP52">
            <v>85792</v>
          </cell>
          <cell r="AQ52">
            <v>2</v>
          </cell>
          <cell r="AR52">
            <v>7</v>
          </cell>
          <cell r="AS52">
            <v>82</v>
          </cell>
          <cell r="AT52" t="str">
            <v>Phius</v>
          </cell>
          <cell r="AU52" t="str">
            <v>NYC</v>
          </cell>
          <cell r="AV52" t="str">
            <v>All Electric</v>
          </cell>
          <cell r="AW52" t="str">
            <v>LMI</v>
          </cell>
          <cell r="AX52" t="str">
            <v>Yes</v>
          </cell>
          <cell r="AY52" t="str">
            <v>Block and Plank</v>
          </cell>
          <cell r="AZ52" t="str">
            <v>VRF - ASHP</v>
          </cell>
          <cell r="BA52" t="str">
            <v>ERV</v>
          </cell>
          <cell r="BB52" t="str">
            <v>ASHP</v>
          </cell>
          <cell r="BC52" t="str">
            <v>Yes</v>
          </cell>
          <cell r="BD52" t="str">
            <v>Mid Rise</v>
          </cell>
          <cell r="BE52" t="str">
            <v>PV</v>
          </cell>
          <cell r="BF52" t="str">
            <v>No</v>
          </cell>
          <cell r="BG52" t="str">
            <v>No</v>
          </cell>
          <cell r="BH52" t="str">
            <v>No</v>
          </cell>
          <cell r="BI52" t="str">
            <v>No</v>
          </cell>
          <cell r="BJ52">
            <v>4</v>
          </cell>
          <cell r="BK52" t="str">
            <v>No</v>
          </cell>
          <cell r="BL52" t="str">
            <v>NC</v>
          </cell>
          <cell r="BM52" t="str">
            <v>2019 ECC NYS</v>
          </cell>
          <cell r="BN52" t="str">
            <v>Possibly</v>
          </cell>
          <cell r="BP52">
            <v>1046.2439024390244</v>
          </cell>
          <cell r="BQ52" t="str">
            <v>Yes</v>
          </cell>
          <cell r="BS52" t="str">
            <v>No</v>
          </cell>
          <cell r="BU52" t="str">
            <v>The estimated energy usage is projected to be Site EUI: 15 kBtu/sqft and Source EUI 46 kBtu/sqft. Annual heating and cooling loads, as well as peak heating and cooling loads, will be kept below the changing climate-based thresholds through strategic management of heat gains and losses through the envelope (optimized with WUFI Passive energy-modeling feedback), air-tightness detailing, and ventilation that recaptures both heat and moisture.</v>
          </cell>
          <cell r="BV52" t="str">
            <v>Energy savings is expected to be roughly 30-40% compared to typical code-built buildings, translating to about $72k annually, shared between residents and ownership. The construction-cost premium is expected to be 2-8%.</v>
          </cell>
          <cell r="BX52">
            <v>1630525</v>
          </cell>
          <cell r="BY52">
            <v>1238145</v>
          </cell>
          <cell r="BZ52">
            <v>0.24064641756489474</v>
          </cell>
          <cell r="CB52">
            <v>72575.91</v>
          </cell>
          <cell r="CF52">
            <v>0.83796224454450996</v>
          </cell>
          <cell r="CG52">
            <v>14.295635607897472</v>
          </cell>
          <cell r="CH52" t="str">
            <v>M1</v>
          </cell>
          <cell r="CI52" t="str">
            <v>Combined from both cost workbooks (2 buildings)</v>
          </cell>
          <cell r="CJ52">
            <v>2925000</v>
          </cell>
          <cell r="CK52">
            <v>7230000</v>
          </cell>
          <cell r="CL52">
            <v>1050000</v>
          </cell>
          <cell r="CM52">
            <v>151700</v>
          </cell>
          <cell r="CN52">
            <v>374500</v>
          </cell>
          <cell r="CO52">
            <v>340000</v>
          </cell>
          <cell r="CP52">
            <v>0</v>
          </cell>
          <cell r="CQ52">
            <v>0</v>
          </cell>
          <cell r="CR52">
            <v>2283800</v>
          </cell>
          <cell r="CS52">
            <v>42507863.5</v>
          </cell>
          <cell r="CT52">
            <v>56862863.5</v>
          </cell>
          <cell r="CU52">
            <v>-328000</v>
          </cell>
          <cell r="CV52">
            <v>0</v>
          </cell>
          <cell r="CW52">
            <v>0</v>
          </cell>
          <cell r="CX52">
            <v>-291232</v>
          </cell>
          <cell r="CY52">
            <v>0</v>
          </cell>
          <cell r="CZ52">
            <v>0</v>
          </cell>
          <cell r="DA52">
            <v>0</v>
          </cell>
          <cell r="DB52">
            <v>-619232</v>
          </cell>
          <cell r="DC52">
            <v>-1000000</v>
          </cell>
          <cell r="DD52">
            <v>0</v>
          </cell>
          <cell r="DE52">
            <v>-111363</v>
          </cell>
          <cell r="DF52">
            <v>0</v>
          </cell>
          <cell r="DG52">
            <v>0</v>
          </cell>
          <cell r="DH52">
            <v>0</v>
          </cell>
          <cell r="DI52">
            <v>-111363</v>
          </cell>
          <cell r="DJ52">
            <v>55132268.5</v>
          </cell>
          <cell r="DK52">
            <v>34.094088026855651</v>
          </cell>
          <cell r="DL52">
            <v>84.273591943304737</v>
          </cell>
          <cell r="DM52">
            <v>1.7939007374925253</v>
          </cell>
          <cell r="DN52">
            <v>40.302629343538371</v>
          </cell>
          <cell r="DO52">
            <v>0.95443192823283551</v>
          </cell>
          <cell r="DP52">
            <v>4.4341546434430628</v>
          </cell>
          <cell r="DQ52">
            <v>0.4045643153526971</v>
          </cell>
          <cell r="DR52">
            <v>3.1389874697428786E-2</v>
          </cell>
          <cell r="DS52">
            <v>662.79913628310328</v>
          </cell>
          <cell r="DT52">
            <v>642.62715055016781</v>
          </cell>
          <cell r="DU52">
            <v>14355000</v>
          </cell>
          <cell r="DV52">
            <v>0.25244947433925835</v>
          </cell>
          <cell r="DW52">
            <v>1663756</v>
          </cell>
          <cell r="DX52">
            <v>6948364</v>
          </cell>
          <cell r="DY52">
            <v>1153500</v>
          </cell>
          <cell r="DZ52">
            <v>208000</v>
          </cell>
          <cell r="EA52">
            <v>0</v>
          </cell>
          <cell r="EB52">
            <v>687000</v>
          </cell>
          <cell r="EC52">
            <v>0</v>
          </cell>
          <cell r="ED52">
            <v>0</v>
          </cell>
          <cell r="EE52">
            <v>442000</v>
          </cell>
          <cell r="EF52">
            <v>21901364</v>
          </cell>
          <cell r="EG52">
            <v>33003984</v>
          </cell>
          <cell r="EH52">
            <v>-122400</v>
          </cell>
          <cell r="EI52">
            <v>0</v>
          </cell>
          <cell r="EJ52">
            <v>0</v>
          </cell>
          <cell r="EK52">
            <v>32881584</v>
          </cell>
          <cell r="EL52">
            <v>19.392903767251024</v>
          </cell>
          <cell r="EP52">
            <v>0.23944571700619025</v>
          </cell>
          <cell r="EQ52">
            <v>3.7224484075949627E-3</v>
          </cell>
          <cell r="ER52">
            <v>384.69768743006341</v>
          </cell>
          <cell r="ES52">
            <v>383.27098097724729</v>
          </cell>
          <cell r="ET52">
            <v>11102620</v>
          </cell>
          <cell r="EU52">
            <v>0.336402417356644</v>
          </cell>
          <cell r="EV52">
            <v>1261244</v>
          </cell>
          <cell r="EW52">
            <v>281636</v>
          </cell>
          <cell r="EX52">
            <v>-103500</v>
          </cell>
          <cell r="EY52">
            <v>-56300</v>
          </cell>
          <cell r="EZ52">
            <v>374500</v>
          </cell>
          <cell r="FA52">
            <v>-347000</v>
          </cell>
          <cell r="FB52">
            <v>0</v>
          </cell>
          <cell r="FC52">
            <v>0</v>
          </cell>
          <cell r="FD52">
            <v>1841800</v>
          </cell>
          <cell r="FE52">
            <v>20606499.5</v>
          </cell>
          <cell r="FF52">
            <v>23858879.5</v>
          </cell>
          <cell r="FG52">
            <v>-496832</v>
          </cell>
          <cell r="FH52">
            <v>-1000000</v>
          </cell>
          <cell r="FI52">
            <v>-111363</v>
          </cell>
          <cell r="FJ52">
            <v>22250684.5</v>
          </cell>
          <cell r="FK52" t="str">
            <v>Downstate</v>
          </cell>
          <cell r="FL52" t="str">
            <v>ConEd</v>
          </cell>
          <cell r="FM52" t="str">
            <v>N/A</v>
          </cell>
          <cell r="FN52">
            <v>0.42173886476891898</v>
          </cell>
          <cell r="FO52">
            <v>0.40358732019162247</v>
          </cell>
        </row>
        <row r="53">
          <cell r="C53" t="str">
            <v>Linden Boulevard Phase III BOE</v>
          </cell>
          <cell r="D53">
            <v>247839</v>
          </cell>
          <cell r="E53" t="str">
            <v>Radson Development</v>
          </cell>
          <cell r="F53" t="str">
            <v>Magnusson Architecture &amp; Planning PC</v>
          </cell>
          <cell r="G53" t="str">
            <v>rsimpson@maparchitects.com</v>
          </cell>
          <cell r="I53" t="str">
            <v>Proposal</v>
          </cell>
          <cell r="J53" t="str">
            <v>Early Design</v>
          </cell>
          <cell r="K53">
            <v>64027236</v>
          </cell>
          <cell r="L53">
            <v>412.51472824266165</v>
          </cell>
          <cell r="M53" t="str">
            <v>Replicability tab in workbook states 9% comparable construction cost</v>
          </cell>
          <cell r="N53">
            <v>5762451.2400000002</v>
          </cell>
          <cell r="O53">
            <v>37.126325541839549</v>
          </cell>
          <cell r="P53">
            <v>0.09</v>
          </cell>
          <cell r="Q53">
            <v>1315700</v>
          </cell>
          <cell r="R53">
            <v>2.0549067587424828E-2</v>
          </cell>
          <cell r="S53">
            <v>4446751.24</v>
          </cell>
          <cell r="T53">
            <v>28.649532510372911</v>
          </cell>
          <cell r="U53">
            <v>6.9450932412575175E-2</v>
          </cell>
          <cell r="V53">
            <v>0</v>
          </cell>
          <cell r="Y53">
            <v>1000000</v>
          </cell>
          <cell r="Z53">
            <v>315700</v>
          </cell>
          <cell r="AG53" t="str">
            <v>Heating and cooling will be provided to residential units and commons spaces through LG Variable Refrigerant Flow (VRFs) systems. VRF systems operate with multiple indoor fan coils connected to one outdoor unit.</v>
          </cell>
          <cell r="AH53" t="str">
            <v>ERV</v>
          </cell>
          <cell r="AI53" t="str">
            <v>On Site</v>
          </cell>
          <cell r="AJ53" t="str">
            <v>The exterior wall envelope will be designed to meet Passive House levels with a mixture of brick and exterior insulation finishing system (EIFS) facades. A minimum of 4” of exterior insulation with minimum R-Values of R-4/inch will be installed at both the EIFS wall assemblies and brick wall assemblies. The project team is hoping to utilize mineral wool for its minimal sequestered and embodied carbon compared to alternative insulation products.  Double-pane, low-e coating windows with a solar heat gain coefficient (SHGC) between 0.25 and 0.30 are specified</v>
          </cell>
          <cell r="AK53" t="str">
            <v>The primary system will be Colmac manufactured hot water heat pumps. This system is sized to the full DHW load of the building but will not run at 100% capacity due to the other systems off-setting some of the load by passive strategies. Powered by electricity, these units will transfer heat captured from surrounding air into a BTU storage tank at grade. The system will also rely upon recovered heat captured from the VRF condenser units while they’re in cooling mode. Hot air is typically rejected from the condenser into the surrounding air in cooling mode, but with heat recovery, it is captured and re-directed to the BTU storage tank. The final component will be a photovoltaic array mounted on the roof. Solar generated electricity will be used to quickly heat up water in the BTU storage tank through electric-resistance heating on very cold days when the air-source heat pumps operate at reduced efficiency and capacity.</v>
          </cell>
          <cell r="AL53">
            <v>269548</v>
          </cell>
          <cell r="AM53" t="str">
            <v xml:space="preserve">Solar PV onsite owned </v>
          </cell>
          <cell r="AN53" t="str">
            <v>Air source heat pump, heat pump clothes dryer, induction cooktop, Solar PV</v>
          </cell>
          <cell r="AO53">
            <v>155212</v>
          </cell>
          <cell r="AP53">
            <v>143712</v>
          </cell>
          <cell r="AQ53">
            <v>1</v>
          </cell>
          <cell r="AR53">
            <v>8</v>
          </cell>
          <cell r="AS53">
            <v>156</v>
          </cell>
          <cell r="AT53" t="str">
            <v>ASHRAE</v>
          </cell>
          <cell r="AU53" t="str">
            <v>NYC</v>
          </cell>
          <cell r="AV53" t="str">
            <v>All Electric</v>
          </cell>
          <cell r="AW53" t="str">
            <v>LMI</v>
          </cell>
          <cell r="AX53" t="str">
            <v>Yes</v>
          </cell>
          <cell r="AY53" t="str">
            <v>Steel and Plank</v>
          </cell>
          <cell r="AZ53" t="str">
            <v>VRF - ASHP</v>
          </cell>
          <cell r="BA53" t="str">
            <v>ERV</v>
          </cell>
          <cell r="BB53" t="str">
            <v xml:space="preserve">ASHP w/ CO2 </v>
          </cell>
          <cell r="BC53" t="str">
            <v>Yes</v>
          </cell>
          <cell r="BD53" t="str">
            <v>Mid Rise</v>
          </cell>
          <cell r="BE53" t="str">
            <v>PV</v>
          </cell>
          <cell r="BF53" t="str">
            <v>No</v>
          </cell>
          <cell r="BG53" t="str">
            <v>No</v>
          </cell>
          <cell r="BH53" t="str">
            <v>No</v>
          </cell>
          <cell r="BI53" t="str">
            <v>No</v>
          </cell>
          <cell r="BJ53">
            <v>4</v>
          </cell>
          <cell r="BK53" t="str">
            <v>No</v>
          </cell>
          <cell r="BL53" t="str">
            <v>GR</v>
          </cell>
          <cell r="BM53" t="str">
            <v>2019 ECC NYS</v>
          </cell>
          <cell r="BN53" t="str">
            <v>Requires Grid Power</v>
          </cell>
          <cell r="BP53">
            <v>994.9487179487179</v>
          </cell>
          <cell r="BQ53" t="str">
            <v>No</v>
          </cell>
          <cell r="BS53" t="str">
            <v>No</v>
          </cell>
          <cell r="BV53" t="str">
            <v>A lower operating cost recognized by lenders will allow more funds to the project in addition to ownership seeing better returns in the years after the initial cost is recouped</v>
          </cell>
          <cell r="BW53">
            <v>9592357</v>
          </cell>
          <cell r="BX53">
            <v>3637170</v>
          </cell>
          <cell r="BY53">
            <v>3367622</v>
          </cell>
          <cell r="BZ53">
            <v>7.4109266270204588E-2</v>
          </cell>
          <cell r="CA53">
            <v>269369</v>
          </cell>
          <cell r="CB53">
            <v>223255.13</v>
          </cell>
          <cell r="CF53">
            <v>1.4383883333762855</v>
          </cell>
          <cell r="CG53">
            <v>21.696917764090404</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t="e">
            <v>#DIV/0!</v>
          </cell>
          <cell r="DR53" t="e">
            <v>#DIV/0!</v>
          </cell>
          <cell r="DS53">
            <v>0</v>
          </cell>
          <cell r="DT53">
            <v>0</v>
          </cell>
          <cell r="DU53">
            <v>0</v>
          </cell>
          <cell r="DV53" t="e">
            <v>#DIV/0!</v>
          </cell>
          <cell r="EL53">
            <v>0</v>
          </cell>
          <cell r="EP53" t="e">
            <v>#DIV/0!</v>
          </cell>
          <cell r="EQ53" t="e">
            <v>#DIV/0!</v>
          </cell>
          <cell r="ER53">
            <v>0</v>
          </cell>
          <cell r="ES53">
            <v>0</v>
          </cell>
          <cell r="ET53">
            <v>0</v>
          </cell>
          <cell r="EU53" t="e">
            <v>#DIV/0!</v>
          </cell>
          <cell r="EV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v>0</v>
          </cell>
          <cell r="FK53" t="str">
            <v>Downstate</v>
          </cell>
          <cell r="FL53" t="str">
            <v>ConEd</v>
          </cell>
          <cell r="FM53" t="str">
            <v>N/A</v>
          </cell>
          <cell r="FN53" t="e">
            <v>#DIV/0!</v>
          </cell>
          <cell r="FO53" t="e">
            <v>#DIV/0!</v>
          </cell>
        </row>
        <row r="54">
          <cell r="C54" t="str">
            <v>Court Square Sustainable Luxury Re-Imagined</v>
          </cell>
          <cell r="D54">
            <v>247935</v>
          </cell>
          <cell r="E54" t="str">
            <v>Ettinger Engineering Associates</v>
          </cell>
          <cell r="F54" t="str">
            <v>Ettinger Engineering Associates</v>
          </cell>
          <cell r="G54" t="str">
            <v>ed@ettingerengineering.com</v>
          </cell>
          <cell r="I54" t="str">
            <v>Proposal</v>
          </cell>
          <cell r="J54" t="str">
            <v>Early Design</v>
          </cell>
          <cell r="K54">
            <v>130000000</v>
          </cell>
          <cell r="L54">
            <v>370.53505261597746</v>
          </cell>
          <cell r="M54" t="str">
            <v>workbook states cost data on comparible project not available 
Table 2 indicates that deploying all‐electric air source heat pump boilers will cost significantly more than
conventional gas‐fired condensing boilers. “All‐in” this number is currently estimated at $1102K. Note
that our current all‐electric heat pump boiler basis of design is the Aermec NRK0550 unit which is
discussed/presented in further detail in Attachment C (see annotated cut sheet and sketches in
Attachment C).</v>
          </cell>
          <cell r="N54">
            <v>1102000</v>
          </cell>
          <cell r="O54">
            <v>3.1409971383292858</v>
          </cell>
          <cell r="P54">
            <v>8.4769230769230763E-3</v>
          </cell>
          <cell r="Q54">
            <v>1328500</v>
          </cell>
          <cell r="R54">
            <v>1.0219230769230769E-2</v>
          </cell>
          <cell r="S54">
            <v>-226500</v>
          </cell>
          <cell r="T54">
            <v>-0.64558607244245303</v>
          </cell>
          <cell r="U54">
            <v>-1.7423076923076923E-3</v>
          </cell>
          <cell r="V54">
            <v>0</v>
          </cell>
          <cell r="Y54">
            <v>1000000</v>
          </cell>
          <cell r="Z54">
            <v>328500</v>
          </cell>
          <cell r="AG54" t="str">
            <v>Air source heat pump, heat pump clothes dryer, induction cooktop, Solar PV, ASHP central boiler</v>
          </cell>
          <cell r="AH54" t="str">
            <v>Residential and commercial corridors will make use of ERV units to recover energy from the
toilet/kitchen exhaust from the building and add this back to the supply air stream.</v>
          </cell>
          <cell r="AI54" t="str">
            <v>On Site</v>
          </cell>
          <cell r="AJ54" t="str">
            <v>The project is actively studying the implementation of view smart tinting windows, smart
lighting controls integrated with thermostats, window shades/associated infrastructure and hybrid heat
pumps to continue to optimize energy performance.</v>
          </cell>
          <cell r="AK54" t="str">
            <v>DHW systems with water‐source heat pumps and heat pump boilers for the residential space and
heat‐recovery VRF units for the offices</v>
          </cell>
          <cell r="AL54">
            <v>3096280</v>
          </cell>
          <cell r="AM54" t="str">
            <v>Solar Electric PV Remote REC</v>
          </cell>
          <cell r="AN54" t="str">
            <v>Air source heat pump, heat pump clothes dryer, induction cooktop, Solar PV, ASHP central boiler</v>
          </cell>
          <cell r="AO54">
            <v>350844</v>
          </cell>
          <cell r="AP54">
            <v>265874</v>
          </cell>
          <cell r="AQ54">
            <v>1</v>
          </cell>
          <cell r="AR54">
            <v>47</v>
          </cell>
          <cell r="AS54">
            <v>285</v>
          </cell>
          <cell r="AT54" t="str">
            <v>ASHRAE</v>
          </cell>
          <cell r="AU54" t="str">
            <v>NYC</v>
          </cell>
          <cell r="AV54" t="str">
            <v>All Electric</v>
          </cell>
          <cell r="AW54" t="str">
            <v>Market Rate</v>
          </cell>
          <cell r="AX54" t="str">
            <v>Yes</v>
          </cell>
          <cell r="AY54" t="str">
            <v>Structural Steel</v>
          </cell>
          <cell r="AZ54" t="str">
            <v>VRF - ASHP</v>
          </cell>
          <cell r="BA54" t="str">
            <v>ERV</v>
          </cell>
          <cell r="BB54" t="str">
            <v>ASHP</v>
          </cell>
          <cell r="BC54" t="str">
            <v>Yes</v>
          </cell>
          <cell r="BD54" t="str">
            <v>Super Tall</v>
          </cell>
          <cell r="BE54" t="str">
            <v>PV</v>
          </cell>
          <cell r="BF54" t="str">
            <v>No</v>
          </cell>
          <cell r="BG54" t="str">
            <v>No</v>
          </cell>
          <cell r="BH54" t="str">
            <v>No</v>
          </cell>
          <cell r="BI54" t="str">
            <v>No</v>
          </cell>
          <cell r="BJ54">
            <v>4</v>
          </cell>
          <cell r="BK54" t="str">
            <v>No</v>
          </cell>
          <cell r="BL54" t="str">
            <v>NC</v>
          </cell>
          <cell r="BM54" t="str">
            <v>2016 ECC NYS</v>
          </cell>
          <cell r="BN54" t="str">
            <v>Requires Grid Power</v>
          </cell>
          <cell r="BP54">
            <v>1231.0315789473684</v>
          </cell>
          <cell r="BQ54" t="str">
            <v>No</v>
          </cell>
          <cell r="BS54" t="str">
            <v>Yes</v>
          </cell>
          <cell r="BU54" t="str">
            <v>the project is currently
projected to better energy code baseline by roughly 52% (site energy basis) and 41% (carbon emissions).</v>
          </cell>
          <cell r="BV54" t="str">
            <v>Preliminary analysis indicates that the original basis of design will result in annual carbon
emissions of 2,143 metric tons of CO2/year. The LL97 carbon limit for this project will be 2,515
metric tons of CO2/year at first onset in 2024. As such, no carbon tax/fine was initially
projected. The LL97 carbon limit for this project will be 1,464 metric tons of CO2/year starting in
2030. As such, starting in 2030 with the original BOD, at $168/ton the building would have
faced a carbon tax of $182K/year.
 Preliminary projections indicate that under the selected BOD without hybrid heat pumps, the
building will emit 1,466 metric tons of CO2/year. In 2030, this will generate a projected financial
benefit of $166K/yr associated with mitigated carbon taxes/fines (263.6‐97.6 = 166, See Table
3).</v>
          </cell>
          <cell r="BW54">
            <v>33358183</v>
          </cell>
          <cell r="BX54">
            <v>15481401</v>
          </cell>
          <cell r="BY54">
            <v>12385121</v>
          </cell>
          <cell r="BZ54">
            <v>0.19999998708127256</v>
          </cell>
          <cell r="CA54">
            <v>1079706</v>
          </cell>
          <cell r="CB54">
            <v>907431</v>
          </cell>
          <cell r="CF54">
            <v>2.5864230256182235</v>
          </cell>
          <cell r="CG54">
            <v>44.126167185415738</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t="e">
            <v>#DIV/0!</v>
          </cell>
          <cell r="DR54" t="e">
            <v>#DIV/0!</v>
          </cell>
          <cell r="DS54">
            <v>0</v>
          </cell>
          <cell r="DT54">
            <v>0</v>
          </cell>
          <cell r="DU54">
            <v>0</v>
          </cell>
          <cell r="DV54" t="e">
            <v>#DIV/0!</v>
          </cell>
          <cell r="EL54">
            <v>0</v>
          </cell>
          <cell r="EP54" t="e">
            <v>#DIV/0!</v>
          </cell>
          <cell r="EQ54" t="e">
            <v>#DIV/0!</v>
          </cell>
          <cell r="ER54">
            <v>0</v>
          </cell>
          <cell r="ES54">
            <v>0</v>
          </cell>
          <cell r="ET54">
            <v>0</v>
          </cell>
          <cell r="EU54" t="e">
            <v>#DIV/0!</v>
          </cell>
          <cell r="EV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v>0</v>
          </cell>
          <cell r="FK54" t="str">
            <v>Downstate</v>
          </cell>
          <cell r="FL54" t="str">
            <v>ConEd</v>
          </cell>
          <cell r="FM54" t="str">
            <v>ConEd</v>
          </cell>
          <cell r="FN54" t="e">
            <v>#DIV/0!</v>
          </cell>
          <cell r="FO54" t="e">
            <v>#DIV/0!</v>
          </cell>
        </row>
        <row r="55">
          <cell r="C55" t="str">
            <v>West Side Homes</v>
          </cell>
          <cell r="D55">
            <v>247742</v>
          </cell>
          <cell r="E55" t="str">
            <v>People United for Sustainable Housing, Inc.</v>
          </cell>
          <cell r="F55" t="str">
            <v>Sustainable Comfort</v>
          </cell>
          <cell r="G55" t="str">
            <v>chris@greenrater.com</v>
          </cell>
          <cell r="I55" t="str">
            <v>Milestone 2</v>
          </cell>
          <cell r="J55" t="str">
            <v>Early Design</v>
          </cell>
          <cell r="K55">
            <v>15277204.893877551</v>
          </cell>
          <cell r="L55">
            <v>842.601339908309</v>
          </cell>
          <cell r="M55" t="str">
            <v>Replicability tab in workbook states 4% comparable construction cost</v>
          </cell>
          <cell r="N55">
            <v>765077</v>
          </cell>
          <cell r="O55">
            <v>41.36986376923501</v>
          </cell>
          <cell r="P55">
            <v>4.9097790152739178E-2</v>
          </cell>
          <cell r="Q55">
            <v>506317</v>
          </cell>
          <cell r="R55">
            <v>3.3141991844523218E-2</v>
          </cell>
          <cell r="S55">
            <v>258760</v>
          </cell>
          <cell r="T55">
            <v>13.905223849216499</v>
          </cell>
          <cell r="U55">
            <v>1.6502731707891245E-2</v>
          </cell>
          <cell r="V55">
            <v>30000</v>
          </cell>
          <cell r="Y55">
            <v>516000</v>
          </cell>
          <cell r="Z55">
            <v>54000</v>
          </cell>
          <cell r="AG55" t="str">
            <v>Ground source heat pumps will provide cooling to the buildings without adding additional systems. With
anticipated future heat waves, building cooling becomes even more critical. The decision behind ground
source heat pumps stems from the understanding that air source heat pumps rely on outside
conditions. Extreme cold may shut down an air source system and a large snow event could cover the
unit with snow and render the unit non-operable.</v>
          </cell>
          <cell r="AH55" t="str">
            <v>The indoor air quality will be greatly enhanced through the use of energy recovery ventilation which will
be operating continuously in each apartment. As part of the Passive House program, the project will also
meet the requirements of the EPA Indoor airPLUS program. This requires that materials are selected to
reduce indoor pollutants including paints, adhesives, sealants, flooring, and composite woods.
Enhanced air filtration will be considered with optional MERV 13 filters for the selected ERV unit.</v>
          </cell>
          <cell r="AI55" t="str">
            <v>Panelized</v>
          </cell>
          <cell r="AJ55" t="str">
            <v>Envelope:
• The Zip Wall system that will be utilized for framing utilizes lumber that is FSC certified
• West Side Homes will be using pre-manufactured wall framing which is shown to use 26% less
wood than traditional framing techniques.
• Blown-in cellulose insulation was selected for wall and roof cavity insulation for its carbon
sequestering ability prior to installation.
• Zip R-sheathing was selected because of its availability to the market, increasing replicability
for future projects. Zip R-sheathing utilizes a lower GWP rigid insulation than other similar rigid
insulations. Polyisocyanurate has a superior R-Value to other rigid insulations and a lower global
warming potential and embodied carbon content than EPS and XPS.
• Foundation insulation will use EPS instead of XPS citing concerns with GWP potential and the
blowing agent used in making XPS foam.</v>
          </cell>
          <cell r="AK55" t="str">
            <v>Ground source heat pumps were selected to provide heating/cooling and domestic hot water.</v>
          </cell>
          <cell r="AL55">
            <v>374446.72192916356</v>
          </cell>
          <cell r="AM55" t="str">
            <v xml:space="preserve">Solar PV onsite owned </v>
          </cell>
          <cell r="AN55" t="str">
            <v xml:space="preserve">Ground Source heat pump, Solar PV, Electric Dryers, Electric resistance </v>
          </cell>
          <cell r="AO55">
            <v>18131</v>
          </cell>
          <cell r="AP55">
            <v>18131</v>
          </cell>
          <cell r="AQ55">
            <v>1</v>
          </cell>
          <cell r="AR55">
            <v>3</v>
          </cell>
          <cell r="AS55">
            <v>15</v>
          </cell>
          <cell r="AT55" t="str">
            <v>Phius</v>
          </cell>
          <cell r="AU55" t="str">
            <v>Western NY</v>
          </cell>
          <cell r="AV55" t="str">
            <v>All Electric</v>
          </cell>
          <cell r="AW55" t="str">
            <v>LMI</v>
          </cell>
          <cell r="AX55" t="str">
            <v>Yes</v>
          </cell>
          <cell r="AY55" t="str">
            <v>Structural Steel</v>
          </cell>
          <cell r="AZ55" t="str">
            <v>GSHP</v>
          </cell>
          <cell r="BA55" t="str">
            <v>ERV</v>
          </cell>
          <cell r="BB55" t="str">
            <v>GSHP</v>
          </cell>
          <cell r="BC55" t="str">
            <v>Yes</v>
          </cell>
          <cell r="BD55" t="str">
            <v>Low Rise</v>
          </cell>
          <cell r="BE55" t="str">
            <v>PV</v>
          </cell>
          <cell r="BF55" t="str">
            <v>No</v>
          </cell>
          <cell r="BG55" t="str">
            <v>No</v>
          </cell>
          <cell r="BH55" t="str">
            <v>No</v>
          </cell>
          <cell r="BI55" t="str">
            <v>No</v>
          </cell>
          <cell r="BJ55">
            <v>5</v>
          </cell>
          <cell r="BK55" t="str">
            <v>No</v>
          </cell>
          <cell r="BL55" t="str">
            <v>NC</v>
          </cell>
          <cell r="BM55" t="str">
            <v>2019 ECC NYS</v>
          </cell>
          <cell r="BN55" t="str">
            <v>Requires Grid Power</v>
          </cell>
          <cell r="BP55">
            <v>1208.7333333333333</v>
          </cell>
          <cell r="BQ55" t="str">
            <v>Yes</v>
          </cell>
          <cell r="BS55" t="str">
            <v>No</v>
          </cell>
          <cell r="BT55" t="str">
            <v>Phius 2018+</v>
          </cell>
          <cell r="BX55">
            <v>374446.72192916356</v>
          </cell>
          <cell r="BY55">
            <v>0</v>
          </cell>
          <cell r="BZ55">
            <v>1</v>
          </cell>
          <cell r="CB55">
            <v>1244.3104747550867</v>
          </cell>
          <cell r="CF55">
            <v>4.8229088168801809E-2</v>
          </cell>
          <cell r="CG55">
            <v>0</v>
          </cell>
          <cell r="CH55" t="str">
            <v>M2</v>
          </cell>
          <cell r="CJ55">
            <v>695077</v>
          </cell>
          <cell r="CK55">
            <v>4104825.5599999996</v>
          </cell>
          <cell r="CL55">
            <v>1134500</v>
          </cell>
          <cell r="CM55">
            <v>99865</v>
          </cell>
          <cell r="CN55">
            <v>119136.74</v>
          </cell>
          <cell r="CO55">
            <v>1135010</v>
          </cell>
          <cell r="CP55">
            <v>0</v>
          </cell>
          <cell r="CQ55">
            <v>0</v>
          </cell>
          <cell r="CR55">
            <v>224844.69387755101</v>
          </cell>
          <cell r="CS55">
            <v>7763945.8999999994</v>
          </cell>
          <cell r="CT55">
            <v>15277204.893877551</v>
          </cell>
          <cell r="CU55">
            <v>-60000</v>
          </cell>
          <cell r="CV55">
            <v>-55819</v>
          </cell>
          <cell r="CW55">
            <v>0</v>
          </cell>
          <cell r="CX55">
            <v>0</v>
          </cell>
          <cell r="CY55">
            <v>0</v>
          </cell>
          <cell r="CZ55">
            <v>0</v>
          </cell>
          <cell r="DA55">
            <v>0</v>
          </cell>
          <cell r="DB55">
            <v>-115819</v>
          </cell>
          <cell r="DC55">
            <v>-362620</v>
          </cell>
          <cell r="DD55">
            <v>0</v>
          </cell>
          <cell r="DE55">
            <v>-27878</v>
          </cell>
          <cell r="DF55">
            <v>0</v>
          </cell>
          <cell r="DG55">
            <v>0</v>
          </cell>
          <cell r="DH55">
            <v>0</v>
          </cell>
          <cell r="DI55">
            <v>-27878</v>
          </cell>
          <cell r="DJ55">
            <v>14770887.893877551</v>
          </cell>
          <cell r="DK55">
            <v>38.336385196624569</v>
          </cell>
          <cell r="DL55">
            <v>226.39818873752134</v>
          </cell>
          <cell r="DM55">
            <v>1.856277433593055</v>
          </cell>
          <cell r="DN55">
            <v>558.60415394864344</v>
          </cell>
          <cell r="DO55">
            <v>0.31816740012091188</v>
          </cell>
          <cell r="DP55">
            <v>10.962375471874301</v>
          </cell>
          <cell r="DQ55">
            <v>0.16933167800679941</v>
          </cell>
          <cell r="DR55">
            <v>3.4278034173549278E-2</v>
          </cell>
          <cell r="DS55">
            <v>842.601339908309</v>
          </cell>
          <cell r="DT55">
            <v>814.67585317288354</v>
          </cell>
          <cell r="DU55">
            <v>7513258.9938775506</v>
          </cell>
          <cell r="DV55">
            <v>0.49179539359903085</v>
          </cell>
          <cell r="DW55">
            <v>225000</v>
          </cell>
          <cell r="DX55">
            <v>3844825.5599999996</v>
          </cell>
          <cell r="DY55">
            <v>1119500</v>
          </cell>
          <cell r="DZ55">
            <v>99865</v>
          </cell>
          <cell r="EA55">
            <v>119136.74</v>
          </cell>
          <cell r="EB55">
            <v>1135010</v>
          </cell>
          <cell r="EC55">
            <v>0</v>
          </cell>
          <cell r="ED55">
            <v>0</v>
          </cell>
          <cell r="EE55">
            <v>224844.69387755101</v>
          </cell>
          <cell r="EF55">
            <v>7743945.8999999994</v>
          </cell>
          <cell r="EG55">
            <v>14512127.893877551</v>
          </cell>
          <cell r="EH55">
            <v>15000</v>
          </cell>
          <cell r="EI55">
            <v>0</v>
          </cell>
          <cell r="EJ55">
            <v>0</v>
          </cell>
          <cell r="EK55">
            <v>14527127.893877551</v>
          </cell>
          <cell r="EL55">
            <v>12.409685069770006</v>
          </cell>
          <cell r="EP55">
            <v>5.8520210212085672E-2</v>
          </cell>
          <cell r="EQ55">
            <v>-1.0325509701282207E-3</v>
          </cell>
          <cell r="ER55">
            <v>800.40416380108934</v>
          </cell>
          <cell r="ES55">
            <v>801.23147613907406</v>
          </cell>
          <cell r="ET55">
            <v>6768181.9938775506</v>
          </cell>
          <cell r="EU55">
            <v>0.46638108783019649</v>
          </cell>
          <cell r="EV55">
            <v>470077</v>
          </cell>
          <cell r="EW55">
            <v>260000</v>
          </cell>
          <cell r="EX55">
            <v>15000</v>
          </cell>
          <cell r="EY55">
            <v>0</v>
          </cell>
          <cell r="EZ55">
            <v>0</v>
          </cell>
          <cell r="FA55">
            <v>0</v>
          </cell>
          <cell r="FB55">
            <v>0</v>
          </cell>
          <cell r="FC55">
            <v>0</v>
          </cell>
          <cell r="FD55">
            <v>0</v>
          </cell>
          <cell r="FE55">
            <v>20000</v>
          </cell>
          <cell r="FF55">
            <v>765077</v>
          </cell>
          <cell r="FG55">
            <v>-130819</v>
          </cell>
          <cell r="FH55">
            <v>-362620</v>
          </cell>
          <cell r="FI55">
            <v>-27878</v>
          </cell>
          <cell r="FJ55">
            <v>243760</v>
          </cell>
          <cell r="FK55" t="str">
            <v>Upstate</v>
          </cell>
          <cell r="FL55" t="str">
            <v>National Grid</v>
          </cell>
          <cell r="FM55" t="str">
            <v>National Grid</v>
          </cell>
          <cell r="FN55">
            <v>4.9097790152739178E-2</v>
          </cell>
          <cell r="FO55">
            <v>1.6502731707891245E-2</v>
          </cell>
        </row>
        <row r="56">
          <cell r="C56" t="str">
            <v>Energy Square</v>
          </cell>
          <cell r="DK56" t="e">
            <v>#DIV/0!</v>
          </cell>
          <cell r="DM56" t="e">
            <v>#DIV/0!</v>
          </cell>
          <cell r="DO56" t="e">
            <v>#DIV/0!</v>
          </cell>
          <cell r="DP56" t="e">
            <v>#DIV/0!</v>
          </cell>
          <cell r="DQ56" t="e">
            <v>#DIV/0!</v>
          </cell>
          <cell r="DR56" t="e">
            <v>#DIV/0!</v>
          </cell>
          <cell r="DS56" t="e">
            <v>#DIV/0!</v>
          </cell>
          <cell r="DT56" t="e">
            <v>#DIV/0!</v>
          </cell>
          <cell r="DU56">
            <v>0</v>
          </cell>
          <cell r="DV56" t="e">
            <v>#DIV/0!</v>
          </cell>
          <cell r="EL56" t="e">
            <v>#DIV/0!</v>
          </cell>
          <cell r="EP56" t="e">
            <v>#DIV/0!</v>
          </cell>
          <cell r="EQ56" t="e">
            <v>#DIV/0!</v>
          </cell>
          <cell r="ER56" t="e">
            <v>#DIV/0!</v>
          </cell>
          <cell r="ES56" t="e">
            <v>#DIV/0!</v>
          </cell>
          <cell r="ET56">
            <v>0</v>
          </cell>
          <cell r="EU56" t="e">
            <v>#DIV/0!</v>
          </cell>
          <cell r="EV56">
            <v>0</v>
          </cell>
          <cell r="EW56">
            <v>0</v>
          </cell>
          <cell r="EX56">
            <v>0</v>
          </cell>
          <cell r="EY56">
            <v>0</v>
          </cell>
          <cell r="EZ56">
            <v>0</v>
          </cell>
          <cell r="FA56">
            <v>0</v>
          </cell>
          <cell r="FB56">
            <v>0</v>
          </cell>
          <cell r="FC56">
            <v>0</v>
          </cell>
          <cell r="FD56">
            <v>0</v>
          </cell>
          <cell r="FE56">
            <v>0</v>
          </cell>
          <cell r="FF56">
            <v>0</v>
          </cell>
          <cell r="FG56">
            <v>0</v>
          </cell>
          <cell r="FH56">
            <v>0</v>
          </cell>
          <cell r="FI56">
            <v>0</v>
          </cell>
          <cell r="FJ56">
            <v>0</v>
          </cell>
        </row>
        <row r="57">
          <cell r="C57" t="str">
            <v>323 Taughannock</v>
          </cell>
          <cell r="DK57" t="e">
            <v>#DIV/0!</v>
          </cell>
          <cell r="DM57" t="e">
            <v>#DIV/0!</v>
          </cell>
          <cell r="DO57" t="e">
            <v>#DIV/0!</v>
          </cell>
          <cell r="DP57" t="e">
            <v>#DIV/0!</v>
          </cell>
          <cell r="DQ57" t="e">
            <v>#DIV/0!</v>
          </cell>
          <cell r="DR57" t="e">
            <v>#DIV/0!</v>
          </cell>
          <cell r="DS57" t="e">
            <v>#DIV/0!</v>
          </cell>
          <cell r="DT57" t="e">
            <v>#DIV/0!</v>
          </cell>
          <cell r="DU57">
            <v>0</v>
          </cell>
          <cell r="DV57" t="e">
            <v>#DIV/0!</v>
          </cell>
          <cell r="EL57" t="e">
            <v>#DIV/0!</v>
          </cell>
          <cell r="EP57" t="e">
            <v>#DIV/0!</v>
          </cell>
          <cell r="EQ57" t="e">
            <v>#DIV/0!</v>
          </cell>
          <cell r="ER57" t="e">
            <v>#DIV/0!</v>
          </cell>
          <cell r="ES57" t="e">
            <v>#DIV/0!</v>
          </cell>
          <cell r="ET57">
            <v>0</v>
          </cell>
          <cell r="EU57" t="e">
            <v>#DIV/0!</v>
          </cell>
          <cell r="EV57">
            <v>0</v>
          </cell>
          <cell r="EW57">
            <v>0</v>
          </cell>
          <cell r="EX57">
            <v>0</v>
          </cell>
          <cell r="EY57">
            <v>0</v>
          </cell>
          <cell r="EZ57">
            <v>0</v>
          </cell>
          <cell r="FA57">
            <v>0</v>
          </cell>
          <cell r="FB57">
            <v>0</v>
          </cell>
          <cell r="FC57">
            <v>0</v>
          </cell>
          <cell r="FD57">
            <v>0</v>
          </cell>
          <cell r="FE57">
            <v>0</v>
          </cell>
          <cell r="FF57">
            <v>0</v>
          </cell>
          <cell r="FG57">
            <v>0</v>
          </cell>
          <cell r="FH57">
            <v>0</v>
          </cell>
          <cell r="FI57">
            <v>0</v>
          </cell>
          <cell r="FJ57">
            <v>0</v>
          </cell>
        </row>
        <row r="58">
          <cell r="C58" t="str">
            <v>32 Walker</v>
          </cell>
          <cell r="D58">
            <v>488021</v>
          </cell>
          <cell r="E58" t="str">
            <v>Gary Romaniello/GRA Equities LLC</v>
          </cell>
          <cell r="I58" t="str">
            <v>Proposal</v>
          </cell>
          <cell r="J58" t="str">
            <v>Design Development</v>
          </cell>
          <cell r="K58">
            <v>17000000</v>
          </cell>
          <cell r="L58">
            <v>680</v>
          </cell>
          <cell r="P58">
            <v>0</v>
          </cell>
          <cell r="Q58">
            <v>0</v>
          </cell>
          <cell r="R58">
            <v>0</v>
          </cell>
          <cell r="AG58" t="str">
            <v>VRF - ASHP</v>
          </cell>
          <cell r="AH58" t="str">
            <v>ERV</v>
          </cell>
          <cell r="AI58" t="str">
            <v>Site Built</v>
          </cell>
          <cell r="AK58" t="str">
            <v>CO2 Heat Pump</v>
          </cell>
          <cell r="AL58">
            <v>0</v>
          </cell>
          <cell r="AM58" t="str">
            <v>-</v>
          </cell>
          <cell r="AO58">
            <v>25000</v>
          </cell>
          <cell r="AP58">
            <v>18000</v>
          </cell>
          <cell r="AQ58">
            <v>1</v>
          </cell>
          <cell r="AR58">
            <v>7</v>
          </cell>
          <cell r="AS58">
            <v>9</v>
          </cell>
          <cell r="AT58" t="str">
            <v>Phius</v>
          </cell>
          <cell r="AU58" t="str">
            <v>NYC</v>
          </cell>
          <cell r="AV58" t="str">
            <v>All Electric</v>
          </cell>
          <cell r="AW58" t="str">
            <v>Market Rate</v>
          </cell>
          <cell r="AX58" t="str">
            <v>Yes</v>
          </cell>
          <cell r="AY58" t="str">
            <v>Block and Concrete Plank</v>
          </cell>
          <cell r="AZ58" t="str">
            <v>VRF - ASHP</v>
          </cell>
          <cell r="BA58" t="str">
            <v>ERV</v>
          </cell>
          <cell r="BB58" t="str">
            <v xml:space="preserve">ASHP w/ CO2 </v>
          </cell>
          <cell r="BC58" t="str">
            <v>Yes</v>
          </cell>
          <cell r="BD58" t="str">
            <v>Mid Rise</v>
          </cell>
          <cell r="BE58" t="str">
            <v>No use of PV</v>
          </cell>
          <cell r="BG58" t="str">
            <v>Yes</v>
          </cell>
          <cell r="BH58" t="str">
            <v>No</v>
          </cell>
          <cell r="BI58" t="str">
            <v>No</v>
          </cell>
          <cell r="BJ58">
            <v>4</v>
          </cell>
          <cell r="BK58" t="str">
            <v>No</v>
          </cell>
          <cell r="BM58" t="str">
            <v>2020 ECCC NYS</v>
          </cell>
          <cell r="BP58">
            <v>2777.7777777777778</v>
          </cell>
          <cell r="BT58" t="str">
            <v>PHIUS CORE</v>
          </cell>
          <cell r="DK58">
            <v>0</v>
          </cell>
          <cell r="DM58" t="e">
            <v>#DIV/0!</v>
          </cell>
          <cell r="DO58" t="e">
            <v>#DIV/0!</v>
          </cell>
          <cell r="DP58" t="e">
            <v>#DIV/0!</v>
          </cell>
          <cell r="DQ58" t="e">
            <v>#DIV/0!</v>
          </cell>
          <cell r="DR58" t="e">
            <v>#DIV/0!</v>
          </cell>
          <cell r="DS58">
            <v>0</v>
          </cell>
          <cell r="DT58">
            <v>0</v>
          </cell>
          <cell r="DU58">
            <v>0</v>
          </cell>
          <cell r="DV58" t="e">
            <v>#DIV/0!</v>
          </cell>
          <cell r="EL58">
            <v>0</v>
          </cell>
          <cell r="EP58" t="e">
            <v>#DIV/0!</v>
          </cell>
          <cell r="EQ58" t="e">
            <v>#DIV/0!</v>
          </cell>
          <cell r="ER58">
            <v>0</v>
          </cell>
          <cell r="ES58">
            <v>0</v>
          </cell>
          <cell r="ET58">
            <v>0</v>
          </cell>
          <cell r="EU58" t="e">
            <v>#DIV/0!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t="str">
            <v>Downstate</v>
          </cell>
        </row>
        <row r="59">
          <cell r="C59" t="str">
            <v xml:space="preserve">1818 Fifth Ave. Passive House </v>
          </cell>
          <cell r="D59">
            <v>483713</v>
          </cell>
          <cell r="E59" t="str">
            <v>Rosenblum Development Corporation</v>
          </cell>
          <cell r="F59" t="str">
            <v>Sustainable Comfort Inc.</v>
          </cell>
          <cell r="G59" t="str">
            <v>scorp@balzertuck.com</v>
          </cell>
          <cell r="I59" t="str">
            <v>Proposal</v>
          </cell>
          <cell r="J59" t="str">
            <v>Schematic Design</v>
          </cell>
          <cell r="K59">
            <v>15110113</v>
          </cell>
          <cell r="L59">
            <v>277.13282467949307</v>
          </cell>
          <cell r="P59">
            <v>0</v>
          </cell>
          <cell r="Q59">
            <v>1250000</v>
          </cell>
          <cell r="R59">
            <v>8.2726052412711942E-2</v>
          </cell>
          <cell r="AG59" t="str">
            <v>VRF - ASHP</v>
          </cell>
          <cell r="AH59" t="str">
            <v>ERV</v>
          </cell>
          <cell r="AI59" t="str">
            <v>Panelized</v>
          </cell>
          <cell r="AK59" t="str">
            <v>ASHP</v>
          </cell>
          <cell r="AL59">
            <v>133000</v>
          </cell>
          <cell r="AM59" t="str">
            <v xml:space="preserve">Solar PV onsite owned </v>
          </cell>
          <cell r="AO59">
            <v>54523</v>
          </cell>
          <cell r="AP59">
            <v>54523</v>
          </cell>
          <cell r="AQ59">
            <v>1</v>
          </cell>
          <cell r="AR59">
            <v>4</v>
          </cell>
          <cell r="AS59">
            <v>70</v>
          </cell>
          <cell r="AT59" t="str">
            <v>Phius</v>
          </cell>
          <cell r="AU59" t="str">
            <v>Capital Region</v>
          </cell>
          <cell r="AV59" t="str">
            <v>All Electric</v>
          </cell>
          <cell r="AW59" t="str">
            <v>Market Rate</v>
          </cell>
          <cell r="AX59" t="str">
            <v>Yes</v>
          </cell>
          <cell r="AY59" t="str">
            <v>Wood Frame</v>
          </cell>
          <cell r="AZ59" t="str">
            <v>VRF - ASHP</v>
          </cell>
          <cell r="BA59" t="str">
            <v>ERV</v>
          </cell>
          <cell r="BB59" t="str">
            <v>ASHP</v>
          </cell>
          <cell r="BC59" t="str">
            <v>Yes</v>
          </cell>
          <cell r="BD59" t="str">
            <v>Mid Rise</v>
          </cell>
          <cell r="BE59" t="str">
            <v>PV</v>
          </cell>
          <cell r="BG59" t="str">
            <v>Yes</v>
          </cell>
          <cell r="BH59" t="str">
            <v>No</v>
          </cell>
          <cell r="BI59" t="str">
            <v>No</v>
          </cell>
          <cell r="BJ59">
            <v>5</v>
          </cell>
          <cell r="BK59" t="str">
            <v>No</v>
          </cell>
          <cell r="BM59" t="str">
            <v>2020 ECCC NYS</v>
          </cell>
          <cell r="BP59">
            <v>778.9</v>
          </cell>
          <cell r="BT59" t="str">
            <v>PHIUS CORE</v>
          </cell>
          <cell r="DK59">
            <v>0</v>
          </cell>
          <cell r="DM59" t="e">
            <v>#DIV/0!</v>
          </cell>
          <cell r="DO59" t="e">
            <v>#DIV/0!</v>
          </cell>
          <cell r="DP59" t="e">
            <v>#DIV/0!</v>
          </cell>
          <cell r="DQ59" t="e">
            <v>#DIV/0!</v>
          </cell>
          <cell r="DR59" t="e">
            <v>#DIV/0!</v>
          </cell>
          <cell r="DS59">
            <v>0</v>
          </cell>
          <cell r="DT59">
            <v>0</v>
          </cell>
          <cell r="DU59">
            <v>0</v>
          </cell>
          <cell r="DV59" t="e">
            <v>#DIV/0!</v>
          </cell>
          <cell r="EL59">
            <v>0</v>
          </cell>
          <cell r="EP59" t="e">
            <v>#DIV/0!</v>
          </cell>
          <cell r="EQ59" t="e">
            <v>#DIV/0!</v>
          </cell>
          <cell r="ER59">
            <v>0</v>
          </cell>
          <cell r="ES59">
            <v>0</v>
          </cell>
          <cell r="ET59">
            <v>0</v>
          </cell>
          <cell r="EU59" t="e">
            <v>#DIV/0!</v>
          </cell>
          <cell r="EV59">
            <v>0</v>
          </cell>
          <cell r="EW59">
            <v>0</v>
          </cell>
          <cell r="EX59">
            <v>0</v>
          </cell>
          <cell r="EY59">
            <v>0</v>
          </cell>
          <cell r="EZ59">
            <v>0</v>
          </cell>
          <cell r="FA59">
            <v>0</v>
          </cell>
          <cell r="FB59">
            <v>0</v>
          </cell>
          <cell r="FC59">
            <v>0</v>
          </cell>
          <cell r="FD59">
            <v>0</v>
          </cell>
          <cell r="FE59">
            <v>0</v>
          </cell>
          <cell r="FF59">
            <v>0</v>
          </cell>
          <cell r="FG59">
            <v>0</v>
          </cell>
          <cell r="FH59">
            <v>0</v>
          </cell>
          <cell r="FI59">
            <v>0</v>
          </cell>
          <cell r="FJ59">
            <v>0</v>
          </cell>
          <cell r="FK59" t="str">
            <v>Upstate</v>
          </cell>
        </row>
        <row r="60">
          <cell r="C60" t="str">
            <v>439 West 36th Street + 489-501 9th Avenue</v>
          </cell>
          <cell r="D60">
            <v>475974</v>
          </cell>
          <cell r="E60" t="str">
            <v>ZD Jasper Realty</v>
          </cell>
          <cell r="F60" t="str">
            <v>Steven Winter Associates, Inc.</v>
          </cell>
          <cell r="G60" t="str">
            <v>jeremy@archimaera.com</v>
          </cell>
          <cell r="I60" t="str">
            <v>Proposal</v>
          </cell>
          <cell r="J60" t="str">
            <v>Schematic Design</v>
          </cell>
          <cell r="K60">
            <v>201000000</v>
          </cell>
          <cell r="L60">
            <v>987.8266339684584</v>
          </cell>
          <cell r="P60">
            <v>0</v>
          </cell>
          <cell r="Q60">
            <v>1440000</v>
          </cell>
          <cell r="R60">
            <v>7.164179104477612E-3</v>
          </cell>
          <cell r="AG60" t="str">
            <v>VRF - ASHP</v>
          </cell>
          <cell r="AH60" t="str">
            <v>ERV</v>
          </cell>
          <cell r="AI60" t="str">
            <v>Panelized</v>
          </cell>
          <cell r="AK60" t="str">
            <v xml:space="preserve">Communal ASHP hot water heaters at 9th Ave; Unitized hybrid electric heat pump WH at W36th St </v>
          </cell>
          <cell r="AL60">
            <v>0</v>
          </cell>
          <cell r="AM60" t="str">
            <v>-</v>
          </cell>
          <cell r="AO60">
            <v>203477</v>
          </cell>
          <cell r="AP60">
            <v>179339</v>
          </cell>
          <cell r="AQ60">
            <v>3</v>
          </cell>
          <cell r="AR60">
            <v>12</v>
          </cell>
          <cell r="AS60">
            <v>174</v>
          </cell>
          <cell r="AT60" t="str">
            <v>PHI</v>
          </cell>
          <cell r="AU60" t="str">
            <v>NYC</v>
          </cell>
          <cell r="AV60" t="str">
            <v>All Electric</v>
          </cell>
          <cell r="AW60" t="str">
            <v>Market Rate</v>
          </cell>
          <cell r="AX60" t="str">
            <v>Yes</v>
          </cell>
          <cell r="AY60" t="str">
            <v>Cast in Place Concrete</v>
          </cell>
          <cell r="AZ60" t="str">
            <v>VRF - ASHP</v>
          </cell>
          <cell r="BA60" t="str">
            <v>ERV</v>
          </cell>
          <cell r="BB60" t="str">
            <v xml:space="preserve">Communal ASHP hot water heaters at 9th Ave; Unitized hybrid electric heat pump WH at W36th St </v>
          </cell>
          <cell r="BC60" t="str">
            <v>Yes</v>
          </cell>
          <cell r="BD60" t="str">
            <v>Mid Rise</v>
          </cell>
          <cell r="BE60" t="str">
            <v>No use of PV</v>
          </cell>
          <cell r="BG60" t="str">
            <v>No</v>
          </cell>
          <cell r="BH60" t="str">
            <v>No</v>
          </cell>
          <cell r="BI60" t="str">
            <v>No</v>
          </cell>
          <cell r="BJ60">
            <v>4</v>
          </cell>
          <cell r="BK60" t="str">
            <v>No</v>
          </cell>
          <cell r="BM60" t="str">
            <v>2020 ECCC NYS</v>
          </cell>
          <cell r="BP60">
            <v>1169.4080459770114</v>
          </cell>
          <cell r="DK60">
            <v>0</v>
          </cell>
          <cell r="DM60" t="e">
            <v>#DIV/0!</v>
          </cell>
          <cell r="DO60" t="e">
            <v>#DIV/0!</v>
          </cell>
          <cell r="DP60" t="e">
            <v>#DIV/0!</v>
          </cell>
          <cell r="DQ60" t="e">
            <v>#DIV/0!</v>
          </cell>
          <cell r="DR60" t="e">
            <v>#DIV/0!</v>
          </cell>
          <cell r="DS60">
            <v>0</v>
          </cell>
          <cell r="DT60">
            <v>0</v>
          </cell>
          <cell r="DU60">
            <v>0</v>
          </cell>
          <cell r="DV60" t="e">
            <v>#DIV/0!</v>
          </cell>
          <cell r="EL60">
            <v>0</v>
          </cell>
          <cell r="EP60" t="e">
            <v>#DIV/0!</v>
          </cell>
          <cell r="EQ60" t="e">
            <v>#DIV/0!</v>
          </cell>
          <cell r="ER60">
            <v>0</v>
          </cell>
          <cell r="ES60">
            <v>0</v>
          </cell>
          <cell r="ET60">
            <v>0</v>
          </cell>
          <cell r="EU60" t="e">
            <v>#DIV/0!</v>
          </cell>
          <cell r="EV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v>0</v>
          </cell>
          <cell r="FK60" t="str">
            <v>Downstate</v>
          </cell>
        </row>
        <row r="61">
          <cell r="C61" t="str">
            <v>EcoFlats at Log City Phase I</v>
          </cell>
          <cell r="D61">
            <v>480629</v>
          </cell>
          <cell r="E61" t="str">
            <v>Bruns Realty Group, LLC</v>
          </cell>
          <cell r="F61" t="str">
            <v>Cultivate, Inc.</v>
          </cell>
          <cell r="G61" t="str">
            <v>jesse@blackmountainarchitecture.com</v>
          </cell>
          <cell r="I61" t="str">
            <v>Proposal</v>
          </cell>
          <cell r="J61" t="str">
            <v>Schematic Design</v>
          </cell>
          <cell r="K61">
            <v>13700000</v>
          </cell>
          <cell r="L61">
            <v>159.13024287688896</v>
          </cell>
          <cell r="P61">
            <v>0</v>
          </cell>
          <cell r="Q61">
            <v>1604000</v>
          </cell>
          <cell r="R61">
            <v>0.11708029197080291</v>
          </cell>
          <cell r="AG61" t="str">
            <v>Minisplit - ASHP</v>
          </cell>
          <cell r="AH61" t="str">
            <v>ERV</v>
          </cell>
          <cell r="AI61" t="str">
            <v>Site Built</v>
          </cell>
          <cell r="AK61" t="str">
            <v>ASHP</v>
          </cell>
          <cell r="AL61">
            <v>1004500</v>
          </cell>
          <cell r="AM61" t="str">
            <v xml:space="preserve">Solar PV onsite owned </v>
          </cell>
          <cell r="AO61">
            <v>86093</v>
          </cell>
          <cell r="AP61">
            <v>86093</v>
          </cell>
          <cell r="AQ61">
            <v>6</v>
          </cell>
          <cell r="AR61">
            <v>3</v>
          </cell>
          <cell r="AS61">
            <v>84</v>
          </cell>
          <cell r="AT61" t="str">
            <v>Phius</v>
          </cell>
          <cell r="AU61" t="str">
            <v>Mohawk Valley</v>
          </cell>
          <cell r="AV61" t="str">
            <v>All Electric</v>
          </cell>
          <cell r="AW61" t="str">
            <v>Market Rate</v>
          </cell>
          <cell r="AX61" t="str">
            <v>Yes</v>
          </cell>
          <cell r="AY61" t="str">
            <v>Wood Frame</v>
          </cell>
          <cell r="AZ61" t="str">
            <v>Minisplit - ASHP</v>
          </cell>
          <cell r="BA61" t="str">
            <v>ERV</v>
          </cell>
          <cell r="BB61" t="str">
            <v>ASHP</v>
          </cell>
          <cell r="BC61" t="str">
            <v>Yes</v>
          </cell>
          <cell r="BD61" t="str">
            <v>Low Rise</v>
          </cell>
          <cell r="BE61" t="str">
            <v>PV</v>
          </cell>
          <cell r="BG61" t="str">
            <v>Yes</v>
          </cell>
          <cell r="BH61" t="str">
            <v>No</v>
          </cell>
          <cell r="BI61" t="str">
            <v>No</v>
          </cell>
          <cell r="BJ61">
            <v>6</v>
          </cell>
          <cell r="BK61" t="str">
            <v>No</v>
          </cell>
          <cell r="BM61" t="str">
            <v>2020 ECCC NYS</v>
          </cell>
          <cell r="BO61" t="str">
            <v>Yes</v>
          </cell>
          <cell r="BP61">
            <v>1024.9166666666667</v>
          </cell>
          <cell r="BT61" t="str">
            <v>PHIUS ZERO</v>
          </cell>
          <cell r="DK61">
            <v>0</v>
          </cell>
          <cell r="DM61" t="e">
            <v>#DIV/0!</v>
          </cell>
          <cell r="DO61" t="e">
            <v>#DIV/0!</v>
          </cell>
          <cell r="DP61" t="e">
            <v>#DIV/0!</v>
          </cell>
          <cell r="DQ61" t="e">
            <v>#DIV/0!</v>
          </cell>
          <cell r="DR61" t="e">
            <v>#DIV/0!</v>
          </cell>
          <cell r="DS61">
            <v>0</v>
          </cell>
          <cell r="DT61">
            <v>0</v>
          </cell>
          <cell r="DU61">
            <v>0</v>
          </cell>
          <cell r="DV61" t="e">
            <v>#DIV/0!</v>
          </cell>
          <cell r="EL61">
            <v>0</v>
          </cell>
          <cell r="EP61" t="e">
            <v>#DIV/0!</v>
          </cell>
          <cell r="EQ61" t="e">
            <v>#DIV/0!</v>
          </cell>
          <cell r="ER61">
            <v>0</v>
          </cell>
          <cell r="ES61">
            <v>0</v>
          </cell>
          <cell r="ET61">
            <v>0</v>
          </cell>
          <cell r="EU61" t="e">
            <v>#DIV/0!</v>
          </cell>
          <cell r="EV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v>0</v>
          </cell>
          <cell r="FK61" t="str">
            <v>Upstate</v>
          </cell>
        </row>
        <row r="62">
          <cell r="C62" t="str">
            <v>Highbridge</v>
          </cell>
          <cell r="D62">
            <v>487200</v>
          </cell>
          <cell r="E62" t="str">
            <v>Samaritan Daytop Village</v>
          </cell>
          <cell r="F62" t="str">
            <v>Bright Power</v>
          </cell>
          <cell r="G62" t="str">
            <v>sbayer@maparchitects.com</v>
          </cell>
          <cell r="I62" t="str">
            <v>Proposal</v>
          </cell>
          <cell r="J62" t="str">
            <v>Schematic Design</v>
          </cell>
          <cell r="K62">
            <v>251033352</v>
          </cell>
          <cell r="L62">
            <v>628.28077165653872</v>
          </cell>
          <cell r="P62">
            <v>0</v>
          </cell>
          <cell r="Q62">
            <v>1000000</v>
          </cell>
          <cell r="R62">
            <v>3.9835344269314463E-3</v>
          </cell>
          <cell r="AG62" t="str">
            <v>VRF - ASHP</v>
          </cell>
          <cell r="AH62" t="str">
            <v>ERV</v>
          </cell>
          <cell r="AI62" t="str">
            <v>Panelized</v>
          </cell>
          <cell r="AK62" t="str">
            <v>ASHP</v>
          </cell>
          <cell r="AL62">
            <v>490000</v>
          </cell>
          <cell r="AM62" t="str">
            <v xml:space="preserve">Solar PV onsite owned </v>
          </cell>
          <cell r="AO62">
            <v>399556</v>
          </cell>
          <cell r="AP62">
            <v>230909</v>
          </cell>
          <cell r="AQ62">
            <v>1</v>
          </cell>
          <cell r="AR62">
            <v>31</v>
          </cell>
          <cell r="AS62">
            <v>286</v>
          </cell>
          <cell r="AT62" t="str">
            <v>PHI</v>
          </cell>
          <cell r="AU62" t="str">
            <v>NYC</v>
          </cell>
          <cell r="AV62" t="str">
            <v>All Electric</v>
          </cell>
          <cell r="AW62" t="str">
            <v>LMI</v>
          </cell>
          <cell r="AX62" t="str">
            <v>Yes</v>
          </cell>
          <cell r="AY62" t="str">
            <v>Cast in Place Concrete/Panelized</v>
          </cell>
          <cell r="AZ62" t="str">
            <v>VRF - ASHP</v>
          </cell>
          <cell r="BA62" t="str">
            <v>ERV</v>
          </cell>
          <cell r="BB62" t="str">
            <v>ASHP</v>
          </cell>
          <cell r="BC62" t="str">
            <v>Yes</v>
          </cell>
          <cell r="BD62" t="str">
            <v>High Rise</v>
          </cell>
          <cell r="BE62" t="str">
            <v>PV</v>
          </cell>
          <cell r="BG62" t="str">
            <v>Yes</v>
          </cell>
          <cell r="BH62" t="str">
            <v>No</v>
          </cell>
          <cell r="BI62" t="str">
            <v>No</v>
          </cell>
          <cell r="BJ62">
            <v>4</v>
          </cell>
          <cell r="BK62" t="str">
            <v>No</v>
          </cell>
          <cell r="BM62" t="str">
            <v>2020 ECCC NYS</v>
          </cell>
          <cell r="BO62" t="str">
            <v>Yes</v>
          </cell>
          <cell r="BP62">
            <v>1397.048951048951</v>
          </cell>
          <cell r="DK62">
            <v>0</v>
          </cell>
          <cell r="DM62" t="e">
            <v>#DIV/0!</v>
          </cell>
          <cell r="DO62" t="e">
            <v>#DIV/0!</v>
          </cell>
          <cell r="DP62" t="e">
            <v>#DIV/0!</v>
          </cell>
          <cell r="DQ62" t="e">
            <v>#DIV/0!</v>
          </cell>
          <cell r="DR62" t="e">
            <v>#DIV/0!</v>
          </cell>
          <cell r="DS62">
            <v>0</v>
          </cell>
          <cell r="DT62">
            <v>0</v>
          </cell>
          <cell r="DU62">
            <v>0</v>
          </cell>
          <cell r="DV62" t="e">
            <v>#DIV/0!</v>
          </cell>
          <cell r="EL62">
            <v>0</v>
          </cell>
          <cell r="EP62" t="e">
            <v>#DIV/0!</v>
          </cell>
          <cell r="EQ62" t="e">
            <v>#DIV/0!</v>
          </cell>
          <cell r="ER62">
            <v>0</v>
          </cell>
          <cell r="ES62">
            <v>0</v>
          </cell>
          <cell r="ET62">
            <v>0</v>
          </cell>
          <cell r="EU62" t="e">
            <v>#DIV/0!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t="str">
            <v>Downstate</v>
          </cell>
        </row>
        <row r="63">
          <cell r="C63" t="str">
            <v>Livonia C3 Senior Affordable Housing</v>
          </cell>
          <cell r="D63">
            <v>485117</v>
          </cell>
          <cell r="E63" t="str">
            <v>Catholic Charities POP Development Corp</v>
          </cell>
          <cell r="F63" t="str">
            <v>Bright Power</v>
          </cell>
          <cell r="G63" t="str">
            <v>sbayer@maparchitects.com</v>
          </cell>
          <cell r="I63" t="str">
            <v>Proposal</v>
          </cell>
          <cell r="J63" t="str">
            <v>Schematic Design</v>
          </cell>
          <cell r="K63">
            <v>74834762</v>
          </cell>
          <cell r="L63">
            <v>566.07232980332833</v>
          </cell>
          <cell r="P63">
            <v>0</v>
          </cell>
          <cell r="Q63">
            <v>3969360</v>
          </cell>
          <cell r="R63">
            <v>5.3041659970803408E-2</v>
          </cell>
          <cell r="AG63" t="str">
            <v>VRF - ASHP</v>
          </cell>
          <cell r="AH63" t="str">
            <v>ERV</v>
          </cell>
          <cell r="AI63" t="str">
            <v>Site Built</v>
          </cell>
          <cell r="AK63" t="str">
            <v>ASHP</v>
          </cell>
          <cell r="AL63">
            <v>436754</v>
          </cell>
          <cell r="AM63" t="str">
            <v xml:space="preserve">Solar PV onsite owned </v>
          </cell>
          <cell r="AO63">
            <v>132200</v>
          </cell>
          <cell r="AP63">
            <v>121700</v>
          </cell>
          <cell r="AQ63">
            <v>1</v>
          </cell>
          <cell r="AR63">
            <v>12</v>
          </cell>
          <cell r="AS63">
            <v>135</v>
          </cell>
          <cell r="AT63" t="str">
            <v>PHI</v>
          </cell>
          <cell r="AU63" t="str">
            <v>NYC</v>
          </cell>
          <cell r="AV63" t="str">
            <v>All Electric</v>
          </cell>
          <cell r="AW63" t="str">
            <v>LMI</v>
          </cell>
          <cell r="AX63" t="str">
            <v>Yes</v>
          </cell>
          <cell r="AY63" t="str">
            <v>Cast in Place Concrete</v>
          </cell>
          <cell r="AZ63" t="str">
            <v>VRF - ASHP Central System</v>
          </cell>
          <cell r="BA63" t="str">
            <v>ERV</v>
          </cell>
          <cell r="BB63" t="str">
            <v>ASHP</v>
          </cell>
          <cell r="BC63" t="str">
            <v>Yes</v>
          </cell>
          <cell r="BD63" t="str">
            <v>Mid Rise</v>
          </cell>
          <cell r="BE63" t="str">
            <v>PV</v>
          </cell>
          <cell r="BG63" t="str">
            <v>No</v>
          </cell>
          <cell r="BH63" t="str">
            <v>No</v>
          </cell>
          <cell r="BI63" t="str">
            <v>No</v>
          </cell>
          <cell r="BJ63">
            <v>4</v>
          </cell>
          <cell r="BK63" t="str">
            <v>No</v>
          </cell>
          <cell r="BM63" t="str">
            <v>2020 ECCC NYS</v>
          </cell>
          <cell r="BO63" t="str">
            <v>Yes</v>
          </cell>
          <cell r="BP63">
            <v>979.25925925925924</v>
          </cell>
          <cell r="DK63">
            <v>0</v>
          </cell>
          <cell r="DM63" t="e">
            <v>#DIV/0!</v>
          </cell>
          <cell r="DO63" t="e">
            <v>#DIV/0!</v>
          </cell>
          <cell r="DP63" t="e">
            <v>#DIV/0!</v>
          </cell>
          <cell r="DQ63" t="e">
            <v>#DIV/0!</v>
          </cell>
          <cell r="DR63" t="e">
            <v>#DIV/0!</v>
          </cell>
          <cell r="DS63">
            <v>0</v>
          </cell>
          <cell r="DT63">
            <v>0</v>
          </cell>
          <cell r="DU63">
            <v>0</v>
          </cell>
          <cell r="DV63" t="e">
            <v>#DIV/0!</v>
          </cell>
          <cell r="EL63">
            <v>0</v>
          </cell>
          <cell r="EP63" t="e">
            <v>#DIV/0!</v>
          </cell>
          <cell r="EQ63" t="e">
            <v>#DIV/0!</v>
          </cell>
          <cell r="ER63">
            <v>0</v>
          </cell>
          <cell r="ES63">
            <v>0</v>
          </cell>
          <cell r="ET63">
            <v>0</v>
          </cell>
          <cell r="EU63" t="e">
            <v>#DIV/0!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v>0</v>
          </cell>
          <cell r="FK63" t="str">
            <v>Downstate</v>
          </cell>
        </row>
        <row r="64">
          <cell r="C64" t="str">
            <v>Magnolia Gardens</v>
          </cell>
          <cell r="D64">
            <v>486902</v>
          </cell>
          <cell r="E64" t="str">
            <v>Asian Americans for Equality (AAFE)</v>
          </cell>
          <cell r="F64" t="str">
            <v>Bright Power</v>
          </cell>
          <cell r="G64" t="str">
            <v>jchang@uai-ny.com</v>
          </cell>
          <cell r="I64" t="str">
            <v>Proposal</v>
          </cell>
          <cell r="J64" t="str">
            <v>Design Development</v>
          </cell>
          <cell r="K64">
            <v>64215072</v>
          </cell>
          <cell r="L64">
            <v>794.8590384710601</v>
          </cell>
          <cell r="P64">
            <v>0</v>
          </cell>
          <cell r="Q64">
            <v>405000</v>
          </cell>
          <cell r="R64">
            <v>6.3069305598536119E-3</v>
          </cell>
          <cell r="AG64" t="str">
            <v>Minisplit - ASHP</v>
          </cell>
          <cell r="AH64" t="str">
            <v>ERV</v>
          </cell>
          <cell r="AI64" t="str">
            <v>Site Built</v>
          </cell>
          <cell r="AK64" t="str">
            <v>CO2 Heat Pump</v>
          </cell>
          <cell r="AL64">
            <v>236438.1</v>
          </cell>
          <cell r="AM64" t="str">
            <v xml:space="preserve">Solar PV onsite owned </v>
          </cell>
          <cell r="AO64">
            <v>80788</v>
          </cell>
          <cell r="AP64">
            <v>80788</v>
          </cell>
          <cell r="AQ64">
            <v>1</v>
          </cell>
          <cell r="AR64">
            <v>7</v>
          </cell>
          <cell r="AS64">
            <v>90</v>
          </cell>
          <cell r="AT64" t="str">
            <v>Phius</v>
          </cell>
          <cell r="AU64" t="str">
            <v>NYC</v>
          </cell>
          <cell r="AV64" t="str">
            <v>All Electric</v>
          </cell>
          <cell r="AW64" t="str">
            <v>LMI</v>
          </cell>
          <cell r="AX64" t="str">
            <v>Yes</v>
          </cell>
          <cell r="AY64" t="str">
            <v>Block and Concrete Plank</v>
          </cell>
          <cell r="AZ64" t="str">
            <v>Minisplit - ASHP</v>
          </cell>
          <cell r="BA64" t="str">
            <v>ERV</v>
          </cell>
          <cell r="BB64" t="str">
            <v xml:space="preserve">ASHP w/ CO2 </v>
          </cell>
          <cell r="BC64" t="str">
            <v>Yes</v>
          </cell>
          <cell r="BD64" t="str">
            <v>Mid Rise</v>
          </cell>
          <cell r="BE64" t="str">
            <v>PV</v>
          </cell>
          <cell r="BG64" t="str">
            <v>No</v>
          </cell>
          <cell r="BH64" t="str">
            <v>No</v>
          </cell>
          <cell r="BI64" t="str">
            <v>No</v>
          </cell>
          <cell r="BJ64">
            <v>4</v>
          </cell>
          <cell r="BK64" t="str">
            <v>No</v>
          </cell>
          <cell r="BM64" t="str">
            <v>2020 ECCC NYS</v>
          </cell>
          <cell r="BP64">
            <v>897.64444444444439</v>
          </cell>
          <cell r="BT64" t="str">
            <v>PHIUS CORE</v>
          </cell>
          <cell r="DK64">
            <v>0</v>
          </cell>
          <cell r="DM64" t="e">
            <v>#DIV/0!</v>
          </cell>
          <cell r="DO64" t="e">
            <v>#DIV/0!</v>
          </cell>
          <cell r="DP64" t="e">
            <v>#DIV/0!</v>
          </cell>
          <cell r="DQ64" t="e">
            <v>#DIV/0!</v>
          </cell>
          <cell r="DR64" t="e">
            <v>#DIV/0!</v>
          </cell>
          <cell r="DS64">
            <v>0</v>
          </cell>
          <cell r="DT64">
            <v>0</v>
          </cell>
          <cell r="DU64">
            <v>0</v>
          </cell>
          <cell r="DV64" t="e">
            <v>#DIV/0!</v>
          </cell>
          <cell r="EL64">
            <v>0</v>
          </cell>
          <cell r="EP64" t="e">
            <v>#DIV/0!</v>
          </cell>
          <cell r="EQ64" t="e">
            <v>#DIV/0!</v>
          </cell>
          <cell r="ER64">
            <v>0</v>
          </cell>
          <cell r="ES64">
            <v>0</v>
          </cell>
          <cell r="ET64">
            <v>0</v>
          </cell>
          <cell r="EU64" t="e">
            <v>#DIV/0!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v>
          </cell>
          <cell r="FK64" t="str">
            <v>Downstate</v>
          </cell>
        </row>
        <row r="65">
          <cell r="C65" t="str">
            <v>The Lafayette Apartments</v>
          </cell>
          <cell r="D65">
            <v>482097</v>
          </cell>
          <cell r="E65" t="str">
            <v>Rosenblum Group</v>
          </cell>
          <cell r="F65" t="str">
            <v>Sustainable Comfort Inc.</v>
          </cell>
          <cell r="G65" t="str">
            <v>nick@greenrater.com</v>
          </cell>
          <cell r="I65" t="str">
            <v>Proposal</v>
          </cell>
          <cell r="J65" t="str">
            <v>Schematic Design</v>
          </cell>
          <cell r="K65">
            <v>13900000</v>
          </cell>
          <cell r="L65">
            <v>167.23212781828244</v>
          </cell>
          <cell r="P65">
            <v>0</v>
          </cell>
          <cell r="Q65">
            <v>2010000</v>
          </cell>
          <cell r="R65">
            <v>0.14460431654676259</v>
          </cell>
          <cell r="AG65" t="str">
            <v>GSHP</v>
          </cell>
          <cell r="AH65" t="str">
            <v>ERV</v>
          </cell>
          <cell r="AI65" t="str">
            <v>Panelized</v>
          </cell>
          <cell r="AK65" t="str">
            <v>ASHP</v>
          </cell>
          <cell r="AL65">
            <v>592900</v>
          </cell>
          <cell r="AM65" t="str">
            <v xml:space="preserve">Solar PV onsite owned </v>
          </cell>
          <cell r="AO65">
            <v>83118</v>
          </cell>
          <cell r="AP65">
            <v>65004</v>
          </cell>
          <cell r="AQ65">
            <v>1</v>
          </cell>
          <cell r="AR65">
            <v>5</v>
          </cell>
          <cell r="AS65">
            <v>46</v>
          </cell>
          <cell r="AT65" t="str">
            <v>ERI</v>
          </cell>
          <cell r="AU65" t="str">
            <v>Capital Region</v>
          </cell>
          <cell r="AV65" t="str">
            <v>All Electric</v>
          </cell>
          <cell r="AW65" t="str">
            <v>Market Rate</v>
          </cell>
          <cell r="AX65" t="str">
            <v>Yes</v>
          </cell>
          <cell r="AY65" t="str">
            <v>Wood Frame Over Masonry Podium</v>
          </cell>
          <cell r="AZ65" t="str">
            <v>GSHP</v>
          </cell>
          <cell r="BA65" t="str">
            <v>ERV</v>
          </cell>
          <cell r="BB65" t="str">
            <v>ASHP</v>
          </cell>
          <cell r="BC65" t="str">
            <v>Yes</v>
          </cell>
          <cell r="BD65" t="str">
            <v>Mid Rise</v>
          </cell>
          <cell r="BE65" t="str">
            <v>PV</v>
          </cell>
          <cell r="BG65" t="str">
            <v>Yes</v>
          </cell>
          <cell r="BH65" t="str">
            <v>No</v>
          </cell>
          <cell r="BI65" t="str">
            <v>No</v>
          </cell>
          <cell r="BJ65">
            <v>5</v>
          </cell>
          <cell r="BK65" t="str">
            <v>No</v>
          </cell>
          <cell r="BM65" t="str">
            <v>2020 ECCC NYS</v>
          </cell>
          <cell r="BP65">
            <v>1806.9130434782608</v>
          </cell>
          <cell r="DK65">
            <v>0</v>
          </cell>
          <cell r="DM65" t="e">
            <v>#DIV/0!</v>
          </cell>
          <cell r="DO65" t="e">
            <v>#DIV/0!</v>
          </cell>
          <cell r="DP65" t="e">
            <v>#DIV/0!</v>
          </cell>
          <cell r="DQ65" t="e">
            <v>#DIV/0!</v>
          </cell>
          <cell r="DR65" t="e">
            <v>#DIV/0!</v>
          </cell>
          <cell r="DS65">
            <v>0</v>
          </cell>
          <cell r="DT65">
            <v>0</v>
          </cell>
          <cell r="DU65">
            <v>0</v>
          </cell>
          <cell r="DV65" t="e">
            <v>#DIV/0!</v>
          </cell>
          <cell r="EL65">
            <v>0</v>
          </cell>
          <cell r="EP65" t="e">
            <v>#DIV/0!</v>
          </cell>
          <cell r="EQ65" t="e">
            <v>#DIV/0!</v>
          </cell>
          <cell r="ER65">
            <v>0</v>
          </cell>
          <cell r="ES65">
            <v>0</v>
          </cell>
          <cell r="ET65">
            <v>0</v>
          </cell>
          <cell r="EU65" t="e">
            <v>#DIV/0!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t="str">
            <v>Upstate</v>
          </cell>
        </row>
        <row r="66">
          <cell r="C66" t="str">
            <v>THE RESIDENCES at Sterlington</v>
          </cell>
          <cell r="D66">
            <v>467688</v>
          </cell>
          <cell r="E66" t="str">
            <v>WTBTS of NY</v>
          </cell>
          <cell r="F66" t="str">
            <v>BR+A Consulting Engineers</v>
          </cell>
          <cell r="G66" t="str">
            <v>kcady@jw.org</v>
          </cell>
          <cell r="I66" t="str">
            <v>Proposal</v>
          </cell>
          <cell r="J66" t="str">
            <v>Construction Documents</v>
          </cell>
          <cell r="K66">
            <v>168000000</v>
          </cell>
          <cell r="L66">
            <v>228.56520910995619</v>
          </cell>
          <cell r="P66">
            <v>0</v>
          </cell>
          <cell r="Q66">
            <v>1480500</v>
          </cell>
          <cell r="R66">
            <v>8.8124999999999992E-3</v>
          </cell>
          <cell r="AG66" t="str">
            <v>Central Plant with HRCHs, GSHPs, and Electric Boilers as back-up</v>
          </cell>
          <cell r="AH66" t="str">
            <v>DOAS with Enthalpy Recovery Wheel</v>
          </cell>
          <cell r="AI66" t="str">
            <v>Site Built</v>
          </cell>
          <cell r="AK66" t="str">
            <v>Central Plant with HRCHs, GSHPs, and Electric Boilers as back-up</v>
          </cell>
          <cell r="AL66">
            <v>16975406</v>
          </cell>
          <cell r="AM66" t="str">
            <v xml:space="preserve">Solar PV onsite owned </v>
          </cell>
          <cell r="AO66">
            <v>735020</v>
          </cell>
          <cell r="AP66">
            <v>608370</v>
          </cell>
          <cell r="AQ66">
            <v>10</v>
          </cell>
          <cell r="AR66">
            <v>5</v>
          </cell>
          <cell r="AS66">
            <v>645</v>
          </cell>
          <cell r="AT66" t="str">
            <v>ASHRAE</v>
          </cell>
          <cell r="AU66" t="str">
            <v>Mid Hudson</v>
          </cell>
          <cell r="AV66" t="str">
            <v>All Electric</v>
          </cell>
          <cell r="AW66" t="str">
            <v>Market Rate</v>
          </cell>
          <cell r="AX66" t="str">
            <v>Yes</v>
          </cell>
          <cell r="AY66" t="str">
            <v>Hybrid Mass Timber</v>
          </cell>
          <cell r="AZ66" t="str">
            <v>Central Plant with HRCHs, GSHPs, and Electric Boilers as back-up</v>
          </cell>
          <cell r="BA66" t="str">
            <v>DOAS with Enthalpy Recovery Wheel</v>
          </cell>
          <cell r="BB66" t="str">
            <v>Central Plant with HRCHs, GSHPs, and Electric Boilers as back-up</v>
          </cell>
          <cell r="BC66" t="str">
            <v>Yes</v>
          </cell>
          <cell r="BD66" t="str">
            <v>Mid Rise</v>
          </cell>
          <cell r="BE66" t="str">
            <v>PV</v>
          </cell>
          <cell r="BG66" t="str">
            <v>Yes</v>
          </cell>
          <cell r="BH66" t="str">
            <v>No</v>
          </cell>
          <cell r="BI66" t="str">
            <v>No</v>
          </cell>
          <cell r="BJ66">
            <v>5</v>
          </cell>
          <cell r="BK66" t="str">
            <v>No</v>
          </cell>
          <cell r="BM66" t="str">
            <v>2020 ECCC NYS</v>
          </cell>
          <cell r="BO66" t="str">
            <v>Yes</v>
          </cell>
          <cell r="BP66">
            <v>1139.5658914728683</v>
          </cell>
          <cell r="DK66">
            <v>0</v>
          </cell>
          <cell r="DM66" t="e">
            <v>#DIV/0!</v>
          </cell>
          <cell r="DO66" t="e">
            <v>#DIV/0!</v>
          </cell>
          <cell r="DP66" t="e">
            <v>#DIV/0!</v>
          </cell>
          <cell r="DQ66" t="e">
            <v>#DIV/0!</v>
          </cell>
          <cell r="DR66" t="e">
            <v>#DIV/0!</v>
          </cell>
          <cell r="DS66">
            <v>0</v>
          </cell>
          <cell r="DT66">
            <v>0</v>
          </cell>
          <cell r="DU66">
            <v>0</v>
          </cell>
          <cell r="DV66" t="e">
            <v>#DIV/0!</v>
          </cell>
          <cell r="EL66">
            <v>0</v>
          </cell>
          <cell r="EP66" t="e">
            <v>#DIV/0!</v>
          </cell>
          <cell r="EQ66" t="e">
            <v>#DIV/0!</v>
          </cell>
          <cell r="ER66">
            <v>0</v>
          </cell>
          <cell r="ES66">
            <v>0</v>
          </cell>
          <cell r="ET66">
            <v>0</v>
          </cell>
          <cell r="EU66" t="e">
            <v>#DIV/0!</v>
          </cell>
          <cell r="EV66">
            <v>0</v>
          </cell>
          <cell r="EW66">
            <v>0</v>
          </cell>
          <cell r="EX66">
            <v>0</v>
          </cell>
          <cell r="EY66">
            <v>0</v>
          </cell>
          <cell r="EZ66">
            <v>0</v>
          </cell>
          <cell r="FA66">
            <v>0</v>
          </cell>
          <cell r="FB66">
            <v>0</v>
          </cell>
          <cell r="FC66">
            <v>0</v>
          </cell>
          <cell r="FD66">
            <v>0</v>
          </cell>
          <cell r="FE66">
            <v>0</v>
          </cell>
          <cell r="FF66">
            <v>0</v>
          </cell>
          <cell r="FG66">
            <v>0</v>
          </cell>
          <cell r="FH66">
            <v>0</v>
          </cell>
          <cell r="FI66">
            <v>0</v>
          </cell>
          <cell r="FJ66">
            <v>0</v>
          </cell>
          <cell r="FK66" t="str">
            <v>Upstate</v>
          </cell>
        </row>
        <row r="67">
          <cell r="C67" t="str">
            <v>The Variety Boys &amp; Girls Club Redevelopment Project</v>
          </cell>
          <cell r="D67">
            <v>488072</v>
          </cell>
          <cell r="E67" t="str">
            <v>Mega Development Group LLC</v>
          </cell>
          <cell r="F67" t="str">
            <v>Ettinger Engineering Associates</v>
          </cell>
          <cell r="G67" t="str">
            <v>ed@ettingerengineering.com</v>
          </cell>
          <cell r="I67" t="str">
            <v>Proposal</v>
          </cell>
          <cell r="J67" t="str">
            <v>Schematic Design</v>
          </cell>
          <cell r="K67">
            <v>215274903</v>
          </cell>
          <cell r="L67">
            <v>680.97816377014226</v>
          </cell>
          <cell r="P67">
            <v>0</v>
          </cell>
          <cell r="Q67">
            <v>75035600</v>
          </cell>
          <cell r="R67">
            <v>0.34855711908043457</v>
          </cell>
          <cell r="AG67" t="str">
            <v>VRF - ASHP</v>
          </cell>
          <cell r="AH67" t="str">
            <v>ERV</v>
          </cell>
          <cell r="AI67" t="str">
            <v>Panelized</v>
          </cell>
          <cell r="AK67" t="str">
            <v>ASHP</v>
          </cell>
          <cell r="AL67">
            <v>618015</v>
          </cell>
          <cell r="AM67" t="str">
            <v xml:space="preserve">Solar PV onsite owned </v>
          </cell>
          <cell r="AO67">
            <v>316126</v>
          </cell>
          <cell r="AP67">
            <v>193130</v>
          </cell>
          <cell r="AQ67">
            <v>1</v>
          </cell>
          <cell r="AR67">
            <v>14</v>
          </cell>
          <cell r="AS67">
            <v>229</v>
          </cell>
          <cell r="AT67" t="str">
            <v>ASHRAE</v>
          </cell>
          <cell r="AU67" t="str">
            <v>NYC</v>
          </cell>
          <cell r="AV67" t="str">
            <v>All Electric</v>
          </cell>
          <cell r="AW67" t="str">
            <v>LMI</v>
          </cell>
          <cell r="AX67" t="str">
            <v>Yes</v>
          </cell>
          <cell r="AY67" t="str">
            <v>Block and Plank Over Concrete Podium</v>
          </cell>
          <cell r="AZ67" t="str">
            <v>VRF - ASHP</v>
          </cell>
          <cell r="BA67" t="str">
            <v>ERV</v>
          </cell>
          <cell r="BB67" t="str">
            <v>ASHP</v>
          </cell>
          <cell r="BC67" t="str">
            <v>Yes</v>
          </cell>
          <cell r="BD67" t="str">
            <v>Mid Rise</v>
          </cell>
          <cell r="BE67" t="str">
            <v>PV</v>
          </cell>
          <cell r="BG67" t="str">
            <v>Yes</v>
          </cell>
          <cell r="BH67" t="str">
            <v>No</v>
          </cell>
          <cell r="BI67" t="str">
            <v>No</v>
          </cell>
          <cell r="BJ67">
            <v>4</v>
          </cell>
          <cell r="BK67" t="str">
            <v>No</v>
          </cell>
          <cell r="BM67" t="str">
            <v>2020 ECCC NYS</v>
          </cell>
          <cell r="BO67" t="str">
            <v>Yes</v>
          </cell>
          <cell r="BP67">
            <v>1380.46288209607</v>
          </cell>
          <cell r="DK67">
            <v>0</v>
          </cell>
          <cell r="DM67" t="e">
            <v>#DIV/0!</v>
          </cell>
          <cell r="DO67" t="e">
            <v>#DIV/0!</v>
          </cell>
          <cell r="DP67" t="e">
            <v>#DIV/0!</v>
          </cell>
          <cell r="DQ67" t="e">
            <v>#DIV/0!</v>
          </cell>
          <cell r="DR67" t="e">
            <v>#DIV/0!</v>
          </cell>
          <cell r="DS67">
            <v>0</v>
          </cell>
          <cell r="DT67">
            <v>0</v>
          </cell>
          <cell r="DU67">
            <v>0</v>
          </cell>
          <cell r="DV67" t="e">
            <v>#DIV/0!</v>
          </cell>
          <cell r="EL67">
            <v>0</v>
          </cell>
          <cell r="EP67" t="e">
            <v>#DIV/0!</v>
          </cell>
          <cell r="EQ67" t="e">
            <v>#DIV/0!</v>
          </cell>
          <cell r="ER67">
            <v>0</v>
          </cell>
          <cell r="ES67">
            <v>0</v>
          </cell>
          <cell r="ET67">
            <v>0</v>
          </cell>
          <cell r="EU67" t="e">
            <v>#DIV/0!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v>0</v>
          </cell>
          <cell r="FK67" t="str">
            <v>Downstate</v>
          </cell>
        </row>
        <row r="68">
          <cell r="C68" t="str">
            <v>Parcel 7</v>
          </cell>
          <cell r="D68">
            <v>484763</v>
          </cell>
          <cell r="E68" t="str">
            <v>PathStone Corporation</v>
          </cell>
          <cell r="F68" t="str">
            <v>Sustainable Comfort Inc.</v>
          </cell>
          <cell r="G68" t="str">
            <v>chris@greenrater.com</v>
          </cell>
          <cell r="I68" t="str">
            <v>Proposal</v>
          </cell>
          <cell r="J68" t="str">
            <v>Schematic Design</v>
          </cell>
          <cell r="K68">
            <v>23406748</v>
          </cell>
          <cell r="L68">
            <v>383.79897355174052</v>
          </cell>
          <cell r="P68">
            <v>0</v>
          </cell>
          <cell r="Q68">
            <v>1707380</v>
          </cell>
          <cell r="R68">
            <v>7.294392198352373E-2</v>
          </cell>
          <cell r="AG68" t="str">
            <v>Minisplit - ASHP</v>
          </cell>
          <cell r="AH68" t="str">
            <v>ERV</v>
          </cell>
          <cell r="AI68" t="str">
            <v>Panelized</v>
          </cell>
          <cell r="AK68" t="str">
            <v>CO2 Heat Pump</v>
          </cell>
          <cell r="AL68">
            <v>229515</v>
          </cell>
          <cell r="AM68" t="str">
            <v xml:space="preserve">Solar PV onsite owned </v>
          </cell>
          <cell r="AO68">
            <v>60987</v>
          </cell>
          <cell r="AP68">
            <v>51535</v>
          </cell>
          <cell r="AQ68">
            <v>1</v>
          </cell>
          <cell r="AR68">
            <v>5</v>
          </cell>
          <cell r="AS68">
            <v>59</v>
          </cell>
          <cell r="AT68" t="str">
            <v>Phius</v>
          </cell>
          <cell r="AU68" t="str">
            <v>Finger Lakes</v>
          </cell>
          <cell r="AV68" t="str">
            <v>All Electric</v>
          </cell>
          <cell r="AW68" t="str">
            <v>LMI</v>
          </cell>
          <cell r="AX68" t="str">
            <v>Yes</v>
          </cell>
          <cell r="AY68" t="str">
            <v>Wood Frame Over Masonry Podium</v>
          </cell>
          <cell r="AZ68" t="str">
            <v>Minisplit - ASHP</v>
          </cell>
          <cell r="BA68" t="str">
            <v>ERV</v>
          </cell>
          <cell r="BB68" t="str">
            <v xml:space="preserve">ASHP w/ CO2 </v>
          </cell>
          <cell r="BC68" t="str">
            <v>Yes</v>
          </cell>
          <cell r="BD68" t="str">
            <v>Mid Rise</v>
          </cell>
          <cell r="BE68" t="str">
            <v>PV</v>
          </cell>
          <cell r="BG68" t="str">
            <v>Yes</v>
          </cell>
          <cell r="BH68" t="str">
            <v>No</v>
          </cell>
          <cell r="BI68" t="str">
            <v>No</v>
          </cell>
          <cell r="BJ68">
            <v>5</v>
          </cell>
          <cell r="BK68" t="str">
            <v>No</v>
          </cell>
          <cell r="BM68" t="str">
            <v>2020 ECCC NYS</v>
          </cell>
          <cell r="BP68">
            <v>1033.6779661016949</v>
          </cell>
          <cell r="BT68" t="str">
            <v>PHIUS CORE</v>
          </cell>
          <cell r="DK68">
            <v>0</v>
          </cell>
          <cell r="DM68" t="e">
            <v>#DIV/0!</v>
          </cell>
          <cell r="DO68" t="e">
            <v>#DIV/0!</v>
          </cell>
          <cell r="DP68" t="e">
            <v>#DIV/0!</v>
          </cell>
          <cell r="DQ68" t="e">
            <v>#DIV/0!</v>
          </cell>
          <cell r="DR68" t="e">
            <v>#DIV/0!</v>
          </cell>
          <cell r="DS68">
            <v>0</v>
          </cell>
          <cell r="DT68">
            <v>0</v>
          </cell>
          <cell r="DU68">
            <v>0</v>
          </cell>
          <cell r="DV68" t="e">
            <v>#DIV/0!</v>
          </cell>
          <cell r="EL68">
            <v>0</v>
          </cell>
          <cell r="EP68" t="e">
            <v>#DIV/0!</v>
          </cell>
          <cell r="EQ68" t="e">
            <v>#DIV/0!</v>
          </cell>
          <cell r="ER68">
            <v>0</v>
          </cell>
          <cell r="ES68">
            <v>0</v>
          </cell>
          <cell r="ET68">
            <v>0</v>
          </cell>
          <cell r="EU68" t="e">
            <v>#DIV/0!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t="str">
            <v>Upstate</v>
          </cell>
        </row>
        <row r="69">
          <cell r="C69" t="str">
            <v>Shore Hill Development</v>
          </cell>
          <cell r="D69">
            <v>486991</v>
          </cell>
          <cell r="E69" t="str">
            <v>Jonathan Rose Companies</v>
          </cell>
          <cell r="F69" t="str">
            <v>MaGrann Associates</v>
          </cell>
          <cell r="G69" t="str">
            <v>afoley@rosecompanies.com</v>
          </cell>
          <cell r="I69" t="str">
            <v>Proposal</v>
          </cell>
          <cell r="J69" t="str">
            <v>Schematic Design</v>
          </cell>
          <cell r="K69">
            <v>97000000</v>
          </cell>
          <cell r="L69">
            <v>910.35363015241387</v>
          </cell>
          <cell r="P69">
            <v>0</v>
          </cell>
          <cell r="Q69">
            <v>5100000</v>
          </cell>
          <cell r="R69">
            <v>5.2577319587628867E-2</v>
          </cell>
          <cell r="AG69" t="str">
            <v>Condenser Water Loop with Air to Water Heat Pump; OR Package Terminal Heat Pumps</v>
          </cell>
          <cell r="AH69" t="str">
            <v>ERV</v>
          </cell>
          <cell r="AI69" t="str">
            <v>Site Built</v>
          </cell>
          <cell r="AK69" t="str">
            <v>Central Air Source Heat Pump; OR Wastewater Heat Recovery Heat Pump</v>
          </cell>
          <cell r="AL69">
            <v>133085</v>
          </cell>
          <cell r="AM69" t="str">
            <v xml:space="preserve">Solar PV onsite owned </v>
          </cell>
          <cell r="AO69">
            <v>106552</v>
          </cell>
          <cell r="AP69">
            <v>106552</v>
          </cell>
          <cell r="AQ69">
            <v>1</v>
          </cell>
          <cell r="AR69">
            <v>9</v>
          </cell>
          <cell r="AS69">
            <v>137</v>
          </cell>
          <cell r="AT69" t="str">
            <v>Phius</v>
          </cell>
          <cell r="AU69" t="str">
            <v>NYC</v>
          </cell>
          <cell r="AV69" t="str">
            <v>All Electric</v>
          </cell>
          <cell r="AW69" t="str">
            <v>LMI</v>
          </cell>
          <cell r="AX69" t="str">
            <v>Yes</v>
          </cell>
          <cell r="AY69" t="str">
            <v>Block and Concrete Plank</v>
          </cell>
          <cell r="AZ69" t="str">
            <v>Condenser Water Loop with Air to Water Heat Pump; OR Package Terminal Heat Pumps</v>
          </cell>
          <cell r="BA69" t="str">
            <v>ERV</v>
          </cell>
          <cell r="BB69" t="str">
            <v>Central Air Source Heat Pump; OR Wastewater Heat Recovery Heat Pump</v>
          </cell>
          <cell r="BC69" t="str">
            <v>Yes</v>
          </cell>
          <cell r="BD69" t="str">
            <v>Mid Rise</v>
          </cell>
          <cell r="BE69" t="str">
            <v>PV</v>
          </cell>
          <cell r="BG69" t="str">
            <v>Yes</v>
          </cell>
          <cell r="BH69" t="str">
            <v>No</v>
          </cell>
          <cell r="BI69" t="str">
            <v>No</v>
          </cell>
          <cell r="BJ69">
            <v>4</v>
          </cell>
          <cell r="BK69" t="str">
            <v>No</v>
          </cell>
          <cell r="BM69" t="str">
            <v>2020 ECCC NYS</v>
          </cell>
          <cell r="BP69">
            <v>777.75182481751824</v>
          </cell>
          <cell r="BT69" t="str">
            <v>PHIUS CORE</v>
          </cell>
          <cell r="DK69">
            <v>0</v>
          </cell>
          <cell r="DM69" t="e">
            <v>#DIV/0!</v>
          </cell>
          <cell r="DO69" t="e">
            <v>#DIV/0!</v>
          </cell>
          <cell r="DP69" t="e">
            <v>#DIV/0!</v>
          </cell>
          <cell r="DQ69" t="e">
            <v>#DIV/0!</v>
          </cell>
          <cell r="DR69" t="e">
            <v>#DIV/0!</v>
          </cell>
          <cell r="DS69">
            <v>0</v>
          </cell>
          <cell r="DT69">
            <v>0</v>
          </cell>
          <cell r="DU69">
            <v>0</v>
          </cell>
          <cell r="DV69" t="e">
            <v>#DIV/0!</v>
          </cell>
          <cell r="EL69">
            <v>0</v>
          </cell>
          <cell r="EP69" t="e">
            <v>#DIV/0!</v>
          </cell>
          <cell r="EQ69" t="e">
            <v>#DIV/0!</v>
          </cell>
          <cell r="ER69">
            <v>0</v>
          </cell>
          <cell r="ES69">
            <v>0</v>
          </cell>
          <cell r="ET69">
            <v>0</v>
          </cell>
          <cell r="EU69" t="e">
            <v>#DIV/0!</v>
          </cell>
          <cell r="EV69">
            <v>0</v>
          </cell>
          <cell r="EW69">
            <v>0</v>
          </cell>
          <cell r="EX69">
            <v>0</v>
          </cell>
          <cell r="EY69">
            <v>0</v>
          </cell>
          <cell r="EZ69">
            <v>0</v>
          </cell>
          <cell r="FA69">
            <v>0</v>
          </cell>
          <cell r="FB69">
            <v>0</v>
          </cell>
          <cell r="FC69">
            <v>0</v>
          </cell>
          <cell r="FD69">
            <v>0</v>
          </cell>
          <cell r="FE69">
            <v>0</v>
          </cell>
          <cell r="FF69">
            <v>0</v>
          </cell>
          <cell r="FG69">
            <v>0</v>
          </cell>
          <cell r="FH69">
            <v>0</v>
          </cell>
          <cell r="FI69">
            <v>0</v>
          </cell>
          <cell r="FJ69">
            <v>0</v>
          </cell>
          <cell r="FK69" t="str">
            <v>Downstate</v>
          </cell>
        </row>
        <row r="70">
          <cell r="C70" t="str">
            <v>Castle III</v>
          </cell>
          <cell r="D70">
            <v>482879</v>
          </cell>
          <cell r="E70" t="str">
            <v>The Fortune Society</v>
          </cell>
          <cell r="F70" t="str">
            <v>Bright Power</v>
          </cell>
          <cell r="G70" t="str">
            <v>mark@cplusga.com</v>
          </cell>
          <cell r="I70" t="str">
            <v>Proposal</v>
          </cell>
          <cell r="J70" t="str">
            <v>Design Development</v>
          </cell>
          <cell r="K70">
            <v>48673175</v>
          </cell>
          <cell r="L70">
            <v>708.40725738961612</v>
          </cell>
          <cell r="P70">
            <v>0</v>
          </cell>
          <cell r="Q70">
            <v>21977827</v>
          </cell>
          <cell r="R70">
            <v>0.45153879934892266</v>
          </cell>
          <cell r="AG70" t="str">
            <v>VRF - ASHP</v>
          </cell>
          <cell r="AH70" t="str">
            <v>ERV</v>
          </cell>
          <cell r="AI70" t="str">
            <v>Site Built</v>
          </cell>
          <cell r="AK70" t="str">
            <v>CO2 Heat Pump</v>
          </cell>
          <cell r="AL70">
            <v>247199</v>
          </cell>
          <cell r="AM70" t="str">
            <v xml:space="preserve">Solar PV onsite owned </v>
          </cell>
          <cell r="AO70">
            <v>68707.899999999994</v>
          </cell>
          <cell r="AP70">
            <v>68707.899999999994</v>
          </cell>
          <cell r="AQ70">
            <v>1</v>
          </cell>
          <cell r="AR70">
            <v>15</v>
          </cell>
          <cell r="AS70">
            <v>82</v>
          </cell>
          <cell r="AT70" t="str">
            <v>ASHRAE</v>
          </cell>
          <cell r="AU70" t="str">
            <v>NYC</v>
          </cell>
          <cell r="AV70" t="str">
            <v>All Electric</v>
          </cell>
          <cell r="AW70" t="str">
            <v>LMI</v>
          </cell>
          <cell r="AX70" t="str">
            <v>Yes</v>
          </cell>
          <cell r="AY70" t="str">
            <v>Cellar through 7th story – cast-in-place concrete &amp; concrete plank; 8th story through bulkhead – block &amp; concrete plank</v>
          </cell>
          <cell r="AZ70" t="str">
            <v>VRF - ASHP</v>
          </cell>
          <cell r="BA70" t="str">
            <v>ERV</v>
          </cell>
          <cell r="BB70" t="str">
            <v xml:space="preserve">ASHP w/ CO2 </v>
          </cell>
          <cell r="BC70" t="str">
            <v>Yes</v>
          </cell>
          <cell r="BD70" t="str">
            <v>Mid Rise</v>
          </cell>
          <cell r="BE70" t="str">
            <v>PV</v>
          </cell>
          <cell r="BG70" t="str">
            <v>No</v>
          </cell>
          <cell r="BH70" t="str">
            <v>No</v>
          </cell>
          <cell r="BI70" t="str">
            <v>No</v>
          </cell>
          <cell r="BJ70">
            <v>4</v>
          </cell>
          <cell r="BK70" t="str">
            <v>No</v>
          </cell>
          <cell r="BM70" t="str">
            <v>2020 ECCC NYS</v>
          </cell>
          <cell r="BP70">
            <v>837.9012195121951</v>
          </cell>
          <cell r="DK70">
            <v>0</v>
          </cell>
          <cell r="DM70" t="e">
            <v>#DIV/0!</v>
          </cell>
          <cell r="DO70" t="e">
            <v>#DIV/0!</v>
          </cell>
          <cell r="DP70" t="e">
            <v>#DIV/0!</v>
          </cell>
          <cell r="DQ70" t="e">
            <v>#DIV/0!</v>
          </cell>
          <cell r="DR70" t="e">
            <v>#DIV/0!</v>
          </cell>
          <cell r="DS70">
            <v>0</v>
          </cell>
          <cell r="DT70">
            <v>0</v>
          </cell>
          <cell r="DU70">
            <v>0</v>
          </cell>
          <cell r="DV70" t="e">
            <v>#DIV/0!</v>
          </cell>
          <cell r="EL70">
            <v>0</v>
          </cell>
          <cell r="EP70" t="e">
            <v>#DIV/0!</v>
          </cell>
          <cell r="EQ70" t="e">
            <v>#DIV/0!</v>
          </cell>
          <cell r="ER70">
            <v>0</v>
          </cell>
          <cell r="ES70">
            <v>0</v>
          </cell>
          <cell r="ET70">
            <v>0</v>
          </cell>
          <cell r="EU70" t="e">
            <v>#DIV/0!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v>0</v>
          </cell>
          <cell r="FK70" t="str">
            <v>Downstate</v>
          </cell>
        </row>
        <row r="71">
          <cell r="C71" t="str">
            <v>Brownsville Arts Center and Apartments</v>
          </cell>
          <cell r="D71">
            <v>487617</v>
          </cell>
          <cell r="E71" t="str">
            <v>Artspace Projects</v>
          </cell>
          <cell r="F71" t="str">
            <v>Steven Winter Associates, Inc.</v>
          </cell>
          <cell r="G71" t="str">
            <v>mmahle@swinter.com</v>
          </cell>
          <cell r="I71" t="str">
            <v>Proposal</v>
          </cell>
          <cell r="J71" t="str">
            <v>Schematic Design</v>
          </cell>
          <cell r="K71">
            <v>210922949</v>
          </cell>
          <cell r="L71">
            <v>724.82113058419247</v>
          </cell>
          <cell r="P71">
            <v>0</v>
          </cell>
          <cell r="Q71">
            <v>101285828</v>
          </cell>
          <cell r="R71">
            <v>0.48020297687000385</v>
          </cell>
          <cell r="AG71" t="str">
            <v>VRF - ASHP</v>
          </cell>
          <cell r="AH71" t="str">
            <v>ERV</v>
          </cell>
          <cell r="AI71" t="str">
            <v>Panelized</v>
          </cell>
          <cell r="AK71" t="str">
            <v>CO2 Heat Pump</v>
          </cell>
          <cell r="AL71">
            <v>235800</v>
          </cell>
          <cell r="AM71" t="str">
            <v xml:space="preserve">Solar PV onsite owned </v>
          </cell>
          <cell r="AO71">
            <v>291000</v>
          </cell>
          <cell r="AP71">
            <v>265499</v>
          </cell>
          <cell r="AQ71">
            <v>1</v>
          </cell>
          <cell r="AR71">
            <v>9</v>
          </cell>
          <cell r="AS71">
            <v>291</v>
          </cell>
          <cell r="AT71" t="str">
            <v>Phius</v>
          </cell>
          <cell r="AU71" t="str">
            <v>NYC</v>
          </cell>
          <cell r="AV71" t="str">
            <v>All Electric</v>
          </cell>
          <cell r="AW71" t="str">
            <v>LMI</v>
          </cell>
          <cell r="AX71" t="str">
            <v>Yes</v>
          </cell>
          <cell r="AY71" t="str">
            <v>Insulated Precast Sandwich Panels</v>
          </cell>
          <cell r="AZ71" t="str">
            <v>VRF - ASHP</v>
          </cell>
          <cell r="BA71" t="str">
            <v>ERV</v>
          </cell>
          <cell r="BB71" t="str">
            <v xml:space="preserve">ASHP w/ CO2 </v>
          </cell>
          <cell r="BC71" t="str">
            <v>Yes</v>
          </cell>
          <cell r="BD71" t="str">
            <v>Mid Rise</v>
          </cell>
          <cell r="BE71" t="str">
            <v>PV</v>
          </cell>
          <cell r="BH71" t="str">
            <v>No</v>
          </cell>
          <cell r="BI71" t="str">
            <v>No</v>
          </cell>
          <cell r="BJ71">
            <v>4</v>
          </cell>
          <cell r="BK71" t="str">
            <v>No</v>
          </cell>
          <cell r="BM71" t="str">
            <v>2020 ECCC NYS</v>
          </cell>
          <cell r="BP71">
            <v>1000</v>
          </cell>
          <cell r="DK71">
            <v>0</v>
          </cell>
          <cell r="DM71" t="e">
            <v>#DIV/0!</v>
          </cell>
          <cell r="DO71" t="e">
            <v>#DIV/0!</v>
          </cell>
          <cell r="DP71" t="e">
            <v>#DIV/0!</v>
          </cell>
          <cell r="DQ71" t="e">
            <v>#DIV/0!</v>
          </cell>
          <cell r="DR71" t="e">
            <v>#DIV/0!</v>
          </cell>
          <cell r="DS71">
            <v>0</v>
          </cell>
          <cell r="DT71">
            <v>0</v>
          </cell>
          <cell r="DU71">
            <v>0</v>
          </cell>
          <cell r="DV71" t="e">
            <v>#DIV/0!</v>
          </cell>
          <cell r="EL71">
            <v>0</v>
          </cell>
          <cell r="EP71" t="e">
            <v>#DIV/0!</v>
          </cell>
          <cell r="EQ71" t="e">
            <v>#DIV/0!</v>
          </cell>
          <cell r="ER71">
            <v>0</v>
          </cell>
          <cell r="ES71">
            <v>0</v>
          </cell>
          <cell r="ET71">
            <v>0</v>
          </cell>
          <cell r="EU71" t="e">
            <v>#DIV/0!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cell r="FK71" t="str">
            <v>Downstate</v>
          </cell>
        </row>
        <row r="72">
          <cell r="DK72" t="e">
            <v>#DIV/0!</v>
          </cell>
          <cell r="DM72" t="e">
            <v>#DIV/0!</v>
          </cell>
          <cell r="DO72" t="e">
            <v>#DIV/0!</v>
          </cell>
          <cell r="DP72" t="e">
            <v>#DIV/0!</v>
          </cell>
          <cell r="DQ72" t="e">
            <v>#DIV/0!</v>
          </cell>
          <cell r="DR72" t="e">
            <v>#DIV/0!</v>
          </cell>
          <cell r="DS72" t="e">
            <v>#DIV/0!</v>
          </cell>
          <cell r="DT72" t="e">
            <v>#DIV/0!</v>
          </cell>
          <cell r="DU72">
            <v>0</v>
          </cell>
          <cell r="DV72" t="e">
            <v>#DIV/0!</v>
          </cell>
          <cell r="EL72" t="e">
            <v>#DIV/0!</v>
          </cell>
          <cell r="EP72" t="e">
            <v>#DIV/0!</v>
          </cell>
          <cell r="EQ72" t="e">
            <v>#DIV/0!</v>
          </cell>
          <cell r="ER72" t="e">
            <v>#DIV/0!</v>
          </cell>
          <cell r="ES72" t="e">
            <v>#DIV/0!</v>
          </cell>
          <cell r="ET72">
            <v>0</v>
          </cell>
          <cell r="EU72" t="e">
            <v>#DIV/0!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row>
      </sheetData>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ott W. Burger" refreshedDate="45313.639805671293" createdVersion="8" refreshedVersion="8" minRefreshableVersion="3" recordCount="42" xr:uid="{EDE93AB0-0D38-4033-B013-D7B56991BC10}">
  <cacheSource type="worksheet">
    <worksheetSource ref="A1:CL43" sheet="Project Cost Data"/>
  </cacheSource>
  <cacheFields count="90">
    <cacheField name="Project Grouping" numFmtId="0">
      <sharedItems/>
    </cacheField>
    <cacheField name="Project" numFmtId="0">
      <sharedItems count="42">
        <s v="Linden Boulevard Phase II"/>
        <s v="1182 Woodycrest Development"/>
        <s v="Bushwick Alliance"/>
        <s v="STREET SMART, 369 MANHATTAN AVENUE"/>
        <s v="Tree of Life"/>
        <s v="Rheingold Senior Housing"/>
        <s v="Park Haven"/>
        <s v="Flow Chelsea 211 West 29th Street"/>
        <s v="Solara Phase 2"/>
        <s v="Linden Grove"/>
        <s v="2050 Grand Concourse "/>
        <s v="Creekview Apartments Phase II"/>
        <s v="The Seventy-Six Phase 1"/>
        <s v="Geneva Solar Village"/>
        <s v="Sendero Verde Building A"/>
        <s v="425 Grand Concourse"/>
        <s v="Affordable and Sustainable Multifamily Housing for City of Hudson"/>
        <s v="St. Marks Passive House"/>
        <s v="North Miller Passive Multifamily"/>
        <s v="Park Avenue Green "/>
        <s v="Perdita Flats "/>
        <s v="515 East 86th Street "/>
        <s v="La Central Building C"/>
        <s v="Engine 16"/>
        <s v="Zero Place"/>
        <s v="HELP ONE"/>
        <s v="Village Grove"/>
        <s v="Westgate Apartments"/>
        <s v="Bethany Terraces Senior Houses"/>
        <s v="Cooper Park Commons - Building 2"/>
        <s v="Colonial II Apartments Revitalization"/>
        <s v="Johnson Park Green Community Apartments (aka JPA VII)"/>
        <s v="Great Oaks Mixed Use Eco-Park: Building 150"/>
        <s v="The Rise"/>
        <s v="Solara Apartments Phase III"/>
        <s v="The Seventy Six Building C"/>
        <s v="Hudson Green"/>
        <s v="Baird Road Apartments R2"/>
        <s v="Dekalb Commons"/>
        <s v="Linden Boulevard Phase III BOE"/>
        <s v="Court Square Sustainable Luxury Re-Imagined"/>
        <s v="West Side Homes"/>
      </sharedItems>
    </cacheField>
    <cacheField name="Information Stage" numFmtId="0">
      <sharedItems count="6">
        <s v="Proposal"/>
        <s v="Milestone 2"/>
        <s v="Milestone 3"/>
        <s v="Milestone 4"/>
        <s v="Milestone 1"/>
        <s v="Pending" u="1"/>
      </sharedItems>
    </cacheField>
    <cacheField name="Project Stage" numFmtId="0">
      <sharedItems/>
    </cacheField>
    <cacheField name="Building Only Cost " numFmtId="6">
      <sharedItems containsSemiMixedTypes="0" containsString="0" containsNumber="1" minValue="452607.35" maxValue="233000000"/>
    </cacheField>
    <cacheField name="Cost Per Total Sqft." numFmtId="8">
      <sharedItems containsSemiMixedTypes="0" containsString="0" containsNumber="1" minValue="113.94948388721046" maxValue="997.05057298765121"/>
    </cacheField>
    <cacheField name="Estimated Incremental Cost (before credits and incentives) " numFmtId="164">
      <sharedItems containsSemiMixedTypes="0" containsString="0" containsNumber="1" minValue="0" maxValue="32082969.298765123"/>
    </cacheField>
    <cacheField name="Calculated Incremental Cost Per Sqft. (before credits and incentives)" numFmtId="8">
      <sharedItems containsSemiMixedTypes="0" containsString="0" containsNumber="1" minValue="0" maxValue="337.82969298765124"/>
    </cacheField>
    <cacheField name="Calculated  % Incremental Cost (before credits and incentives)" numFmtId="166">
      <sharedItems containsSemiMixedTypes="0" containsString="0" containsNumber="1" minValue="0" maxValue="0.42173886476891898"/>
    </cacheField>
    <cacheField name="Anticipated NYSERDA Incentives And Tax Credits" numFmtId="6">
      <sharedItems containsSemiMixedTypes="0" containsString="0" containsNumber="1" minValue="66322" maxValue="2449064"/>
    </cacheField>
    <cacheField name="Calculated NYSERDA Incentive/Proposal Building Cost" numFmtId="166">
      <sharedItems containsSemiMixedTypes="0" containsString="0" containsNumber="1" minValue="4.5064377682403432E-3" maxValue="0.14723878570787355"/>
    </cacheField>
    <cacheField name="Calculated Incremental Cost _x000a_(after credits and incentives)" numFmtId="8">
      <sharedItems containsSemiMixedTypes="0" containsString="0" containsNumber="1" minValue="-1342400" maxValue="30282969.298765123"/>
    </cacheField>
    <cacheField name="Calculated Incremental Cost Per Sqft. (after credits and incentives)" numFmtId="8">
      <sharedItems containsSemiMixedTypes="0" containsString="0" containsNumber="1" minValue="-23.878048346644373" maxValue="325.70981259803051"/>
    </cacheField>
    <cacheField name="Calculated % Incremental Cost (after credits and incentives)" numFmtId="166">
      <sharedItems containsSemiMixedTypes="0" containsString="0" containsNumber="1" minValue="-7.3273189348750684E-2" maxValue="0.40358732019162247"/>
    </cacheField>
    <cacheField name="PV - System Size (kbtu/year)" numFmtId="3">
      <sharedItems containsMixedTypes="1" containsNumber="1" minValue="59904" maxValue="1764384257"/>
    </cacheField>
    <cacheField name="PV System Notes" numFmtId="0">
      <sharedItems/>
    </cacheField>
    <cacheField name="Total Building SQFT" numFmtId="3">
      <sharedItems containsSemiMixedTypes="0" containsString="0" containsNumber="1" minValue="3528" maxValue="358845"/>
    </cacheField>
    <cacheField name="Residential SQFT" numFmtId="3">
      <sharedItems containsSemiMixedTypes="0" containsString="0" containsNumber="1" minValue="3528" maxValue="342659"/>
    </cacheField>
    <cacheField name="Buildings" numFmtId="0">
      <sharedItems containsSemiMixedTypes="0" containsString="0" containsNumber="1" containsInteger="1" minValue="1" maxValue="12"/>
    </cacheField>
    <cacheField name="Stories" numFmtId="0">
      <sharedItems containsSemiMixedTypes="0" containsString="0" containsNumber="1" containsInteger="1" minValue="2" maxValue="47"/>
    </cacheField>
    <cacheField name="Dwelling Units" numFmtId="0">
      <sharedItems containsSemiMixedTypes="0" containsString="0" containsNumber="1" containsInteger="1" minValue="3" maxValue="348"/>
    </cacheField>
    <cacheField name="Performance Path " numFmtId="0">
      <sharedItems/>
    </cacheField>
    <cacheField name="REDC Region" numFmtId="0">
      <sharedItems/>
    </cacheField>
    <cacheField name="All Electric" numFmtId="0">
      <sharedItems/>
    </cacheField>
    <cacheField name="LMI" numFmtId="0">
      <sharedItems/>
    </cacheField>
    <cacheField name="High Performance Envelope " numFmtId="0">
      <sharedItems/>
    </cacheField>
    <cacheField name="Building Structure " numFmtId="0">
      <sharedItems/>
    </cacheField>
    <cacheField name="Space Conditioning" numFmtId="0">
      <sharedItems/>
    </cacheField>
    <cacheField name="Ventilation" numFmtId="0">
      <sharedItems/>
    </cacheField>
    <cacheField name="DHW" numFmtId="0">
      <sharedItems/>
    </cacheField>
    <cacheField name="LED/Daylighting" numFmtId="0">
      <sharedItems/>
    </cacheField>
    <cacheField name="Height Classification" numFmtId="0">
      <sharedItems/>
    </cacheField>
    <cacheField name="PV" numFmtId="0">
      <sharedItems/>
    </cacheField>
    <cacheField name="EV Charging" numFmtId="0">
      <sharedItems/>
    </cacheField>
    <cacheField name="Natural Gas Heat" numFmtId="0">
      <sharedItems/>
    </cacheField>
    <cacheField name="Solar Thermal Backup" numFmtId="0">
      <sharedItems/>
    </cacheField>
    <cacheField name="Climate Zone" numFmtId="0">
      <sharedItems containsSemiMixedTypes="0" containsString="0" containsNumber="1" containsInteger="1" minValue="4" maxValue="6"/>
    </cacheField>
    <cacheField name="Gas Appliances (non-DHW)" numFmtId="0">
      <sharedItems/>
    </cacheField>
    <cacheField name="New Construction/Gut Rehab" numFmtId="0">
      <sharedItems/>
    </cacheField>
    <cacheField name="Baseline Code" numFmtId="0">
      <sharedItems/>
    </cacheField>
    <cacheField name="DEC Env. Justice" numFmtId="0">
      <sharedItems/>
    </cacheField>
    <cacheField name="Mixed Use" numFmtId="0">
      <sharedItems/>
    </cacheField>
    <cacheField name="Source Energy Design without Renewables (kBtu/year)" numFmtId="3">
      <sharedItems containsSemiMixedTypes="0" containsString="0" containsNumber="1" minValue="0" maxValue="15481401"/>
    </cacheField>
    <cacheField name="Source Energy Design with Renewables (kbtu/year)" numFmtId="3">
      <sharedItems containsSemiMixedTypes="0" containsString="0" containsNumber="1" containsInteger="1" minValue="0" maxValue="13586516"/>
    </cacheField>
    <cacheField name="% Renewable Energy" numFmtId="9">
      <sharedItems containsMixedTypes="1" containsNumber="1" minValue="0" maxValue="1"/>
    </cacheField>
    <cacheField name=" Annual Design Energy Cost" numFmtId="164">
      <sharedItems containsSemiMixedTypes="0" containsString="0" containsNumber="1" minValue="-258.68" maxValue="907431"/>
    </cacheField>
    <cacheField name="Annual Energy Cost/SQFT" numFmtId="164">
      <sharedItems containsSemiMixedTypes="0" containsString="0" containsNumber="1" minValue="-4.7152752460809331E-3" maxValue="2.6993865916143465"/>
    </cacheField>
    <cacheField name="Source Energy (with renewables)/SQFT (kBtu)" numFmtId="1">
      <sharedItems containsSemiMixedTypes="0" containsString="0" containsNumber="1" minValue="0" maxValue="63.33954929446714"/>
    </cacheField>
    <cacheField name="HVAC Cost" numFmtId="165">
      <sharedItems containsMixedTypes="1" containsNumber="1" minValue="8539.65" maxValue="6998906"/>
    </cacheField>
    <cacheField name="Envelope Cost" numFmtId="165">
      <sharedItems containsMixedTypes="1" containsNumber="1" minValue="64925.8" maxValue="22898351.84"/>
    </cacheField>
    <cacheField name="DHW Cost" numFmtId="165">
      <sharedItems containsMixedTypes="1" containsNumber="1" minValue="5400" maxValue="6106206"/>
    </cacheField>
    <cacheField name="Appliance Cost" numFmtId="165">
      <sharedItems containsMixedTypes="1" containsNumber="1" minValue="7000" maxValue="788116"/>
    </cacheField>
    <cacheField name="Generation Cost" numFmtId="165">
      <sharedItems containsMixedTypes="1" containsNumber="1" minValue="27815" maxValue="3072683"/>
    </cacheField>
    <cacheField name="Lighting Cost " numFmtId="165">
      <sharedItems containsMixedTypes="1" containsNumber="1" minValue="750" maxValue="2335100"/>
    </cacheField>
    <cacheField name="Smart Building Cost" numFmtId="165">
      <sharedItems containsMixedTypes="1" containsNumber="1" minValue="2300" maxValue="403739.06"/>
    </cacheField>
    <cacheField name="Testing Inspection Cost" numFmtId="165">
      <sharedItems containsMixedTypes="1" containsNumber="1" containsInteger="1" minValue="7650" maxValue="689125"/>
    </cacheField>
    <cacheField name="Other Performance Related Cost" numFmtId="165">
      <sharedItems containsMixedTypes="1" containsNumber="1" minValue="5000" maxValue="7001039.7062499998"/>
    </cacheField>
    <cacheField name="Non-Performance Related Cost" numFmtId="165">
      <sharedItems containsMixedTypes="1" containsNumber="1" minValue="289777.65999999997" maxValue="84887679.159999996"/>
    </cacheField>
    <cacheField name="Calculated Cost Before Credits and Incentives" numFmtId="165">
      <sharedItems containsMixedTypes="1" containsNumber="1" minValue="452607.35" maxValue="122540000"/>
    </cacheField>
    <cacheField name="INCENTIVE NYSERDA NCP" numFmtId="165">
      <sharedItems containsMixedTypes="1" containsNumber="1" containsInteger="1" minValue="-600000" maxValue="-6400"/>
    </cacheField>
    <cacheField name="INCENTIVE NYSERDA NYSUN" numFmtId="165">
      <sharedItems containsMixedTypes="1" containsNumber="1" containsInteger="1" minValue="-459000" maxValue="-6610"/>
    </cacheField>
    <cacheField name="INCENTIVE NYSERDA RTEM" numFmtId="165">
      <sharedItems containsMixedTypes="1" containsNumber="1" minValue="-132000" maxValue="-47117.8"/>
    </cacheField>
    <cacheField name="INCENTIVE NYSERDA Solar Thermal" numFmtId="165">
      <sharedItems containsMixedTypes="1" containsNumber="1" containsInteger="1" minValue="-291232" maxValue="-78000"/>
    </cacheField>
    <cacheField name="Incentive GSHP" numFmtId="165">
      <sharedItems containsMixedTypes="1" containsNumber="1" containsInteger="1" minValue="-200000" maxValue="-90000"/>
    </cacheField>
    <cacheField name="INCENTIVE EV" numFmtId="165">
      <sharedItems containsMixedTypes="1" containsNumber="1" containsInteger="1" minValue="-80000" maxValue="-12000"/>
    </cacheField>
    <cacheField name="INCENTIVE NYS Clean Heat" numFmtId="165">
      <sharedItems containsMixedTypes="1" containsNumber="1" containsInteger="1" minValue="-239976" maxValue="-99000"/>
    </cacheField>
    <cacheField name="INCENTIVE TOTAL" numFmtId="165">
      <sharedItems containsMixedTypes="1" containsNumber="1" minValue="-978000" maxValue="-6400"/>
    </cacheField>
    <cacheField name="AWARD_x000a_Buildings of Excellence " numFmtId="165">
      <sharedItems containsMixedTypes="1" containsNumber="1" minValue="-1000000" maxValue="-39467"/>
    </cacheField>
    <cacheField name="TAX CREDIT Depreciation " numFmtId="165">
      <sharedItems containsMixedTypes="1" containsNumber="1" containsInteger="1" minValue="-49394" maxValue="-7500"/>
    </cacheField>
    <cacheField name="TAX CREDIT PV (State and Federal)" numFmtId="165">
      <sharedItems containsMixedTypes="1" containsNumber="1" containsInteger="1" minValue="-990064" maxValue="-7433"/>
    </cacheField>
    <cacheField name="TAX CREDIT Geothermal" numFmtId="165">
      <sharedItems containsMixedTypes="1" containsNumber="1" containsInteger="1" minValue="-85000" maxValue="-85000"/>
    </cacheField>
    <cacheField name="TAX CREDIT COMMERCIAL BUILDING (179D)" numFmtId="165">
      <sharedItems containsMixedTypes="1" containsNumber="1" containsInteger="1" minValue="-32400" maxValue="-32400"/>
    </cacheField>
    <cacheField name="TAX CREDIT HOMEBUILDER EE (45L)" numFmtId="165">
      <sharedItems containsMixedTypes="1" containsNumber="1" containsInteger="1" minValue="-360000" maxValue="-92000"/>
    </cacheField>
    <cacheField name="TAX CREDIT TOTAL" numFmtId="165">
      <sharedItems containsMixedTypes="1" containsNumber="1" containsInteger="1" minValue="-990064" maxValue="-14255"/>
    </cacheField>
    <cacheField name="Calculated Cost After Credits and Incentives" numFmtId="165">
      <sharedItems containsMixedTypes="1" containsNumber="1" minValue="386285.35" maxValue="121490000"/>
    </cacheField>
    <cacheField name="Baseline HVAC Cost" numFmtId="165">
      <sharedItems containsMixedTypes="1" containsNumber="1" minValue="10000" maxValue="5890906"/>
    </cacheField>
    <cacheField name="Baseline Envelope Cost" numFmtId="165">
      <sharedItems containsMixedTypes="1" containsNumber="1" minValue="37815.384615384617" maxValue="22202751.84"/>
    </cacheField>
    <cacheField name="Baseline DHW Cost" numFmtId="165">
      <sharedItems containsMixedTypes="1" containsNumber="1" minValue="5000" maxValue="5856206"/>
    </cacheField>
    <cacheField name="Baseline Appliance Cost" numFmtId="165">
      <sharedItems containsMixedTypes="1" containsNumber="1" minValue="6000" maxValue="788116"/>
    </cacheField>
    <cacheField name="Baseline Generation Cost" numFmtId="165">
      <sharedItems containsMixedTypes="1" containsNumber="1" minValue="25000" maxValue="3072683"/>
    </cacheField>
    <cacheField name="Baseline Lighting Cost " numFmtId="165">
      <sharedItems containsMixedTypes="1" containsNumber="1" minValue="2000" maxValue="3795818.75"/>
    </cacheField>
    <cacheField name="Baseline Smart Building Cost" numFmtId="165">
      <sharedItems containsMixedTypes="1" containsNumber="1" containsInteger="1" minValue="2000" maxValue="2493324"/>
    </cacheField>
    <cacheField name="Baseline Testing Inspection Cost" numFmtId="165">
      <sharedItems containsMixedTypes="1" containsNumber="1" containsInteger="1" minValue="4000" maxValue="580375"/>
    </cacheField>
    <cacheField name="Baseline Other Performance Related Cost" numFmtId="165">
      <sharedItems containsMixedTypes="1" containsNumber="1" minValue="5000" maxValue="19705251"/>
    </cacheField>
    <cacheField name="Baseline Non-Performance Related" numFmtId="165">
      <sharedItems containsMixedTypes="1" containsNumber="1" minValue="235000" maxValue="84887679.159999996"/>
    </cacheField>
    <cacheField name="Baseline  Calculated Cost Before Credits and Incentives" numFmtId="165">
      <sharedItems containsMixedTypes="1" containsNumber="1" minValue="385500" maxValue="120452552"/>
    </cacheField>
    <cacheField name="Baseline INCENTIVE" numFmtId="165">
      <sharedItems containsMixedTypes="1" containsNumber="1" containsInteger="1" minValue="-600000" maxValue="15000"/>
    </cacheField>
    <cacheField name="Baseline AWARD" numFmtId="165">
      <sharedItems containsMixedTypes="1" containsNumber="1" containsInteger="1" minValue="-1000000" maxValue="-637500"/>
    </cacheField>
    <cacheField name="Baseline TAX CREDIT" numFmtId="165">
      <sharedItems containsMixedTypes="1" containsNumber="1" containsInteger="1" minValue="-142814" maxValue="-29906"/>
    </cacheField>
    <cacheField name="Baseline Calculated Cost After Credits and Incentives" numFmtId="165">
      <sharedItems containsMixedTypes="1" containsNumber="1" minValue="385500" maxValue="120452552"/>
    </cacheField>
  </cacheFields>
  <extLst>
    <ext xmlns:x14="http://schemas.microsoft.com/office/spreadsheetml/2009/9/main" uri="{725AE2AE-9491-48be-B2B4-4EB974FC3084}">
      <x14:pivotCacheDefinition pivotCacheId="142325181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s v="Buildings of Excellence Round 1"/>
    <x v="0"/>
    <x v="0"/>
    <s v="Late Design"/>
    <n v="72282816"/>
    <n v="413.71843287639871"/>
    <n v="10842422.4"/>
    <n v="62.057764931459808"/>
    <n v="0.15"/>
    <n v="1300000"/>
    <n v="1.7984910825831688E-2"/>
    <n v="9542422.4000000004"/>
    <n v="54.617075809174942"/>
    <n v="0.13201508917416832"/>
    <n v="300000"/>
    <s v="Solar Thermal"/>
    <n v="174715"/>
    <n v="144985"/>
    <n v="1"/>
    <n v="8"/>
    <n v="160"/>
    <s v="ASHRAE"/>
    <s v="NYC"/>
    <s v="All Electric"/>
    <s v="LMI"/>
    <s v="Yes"/>
    <s v="Steel and Plank"/>
    <s v="VRF - ASHP"/>
    <s v="ERV"/>
    <s v="ASHP"/>
    <s v="Yes"/>
    <s v="Mid Rise"/>
    <s v="Yes"/>
    <s v="No"/>
    <s v="No"/>
    <s v="No"/>
    <n v="4"/>
    <s v="No"/>
    <s v="NC"/>
    <s v="2016 ECCC of NYS"/>
    <s v="No"/>
    <s v="No"/>
    <n v="7862175"/>
    <n v="7562175"/>
    <n v="3.8157380114281353E-2"/>
    <n v="333428.11"/>
    <n v="2.299742111252888"/>
    <n v="43.282917894857341"/>
    <s v=""/>
    <s v=""/>
    <s v=""/>
    <s v=""/>
    <s v=""/>
    <s v=""/>
    <s v=""/>
    <s v=""/>
    <s v=""/>
    <s v=""/>
    <s v=""/>
    <s v=""/>
    <s v=""/>
    <s v=""/>
    <s v=""/>
    <s v=""/>
    <s v=""/>
    <s v=""/>
    <s v=""/>
    <s v=""/>
    <s v=""/>
    <s v=""/>
    <s v=""/>
    <s v=""/>
    <s v=""/>
    <s v=""/>
    <s v=""/>
    <s v=""/>
    <s v=""/>
    <s v=""/>
    <s v=""/>
    <s v=""/>
    <s v=""/>
    <s v=""/>
    <s v=""/>
    <s v=""/>
    <s v=""/>
    <s v=""/>
    <s v=""/>
    <s v=""/>
    <s v=""/>
    <s v=""/>
  </r>
  <r>
    <s v="Buildings of Excellence Round 1"/>
    <x v="1"/>
    <x v="1"/>
    <s v="Under Construction"/>
    <n v="15365000.4"/>
    <n v="372.16006394419418"/>
    <n v="150492.62949999981"/>
    <n v="7.464821719226852"/>
    <n v="2.0058094466434234E-2"/>
    <n v="520631"/>
    <n v="3.3884216495041551E-2"/>
    <n v="-370138.37050000019"/>
    <n v="-5.3259977179953824"/>
    <n v="-1.4311040420484294E-2"/>
    <n v="134552"/>
    <s v="Onsite Solar electric (PV) Owned"/>
    <n v="41286"/>
    <n v="41286"/>
    <n v="1"/>
    <n v="9"/>
    <n v="45"/>
    <s v="Phius"/>
    <s v="NYC"/>
    <s v="Fossil Fuels"/>
    <s v="LMI"/>
    <s v="Yes"/>
    <s v="ICF and Plank "/>
    <s v="VRF - ASHP"/>
    <s v="ERV"/>
    <s v="Fossil Fuel"/>
    <s v="Yes"/>
    <s v="Mid Rise"/>
    <s v="Yes"/>
    <s v="Yes"/>
    <s v="No"/>
    <s v="No"/>
    <n v="4"/>
    <s v="Yes"/>
    <s v="NC"/>
    <s v="2016 ECCC of NYS"/>
    <s v="Yes"/>
    <s v="No"/>
    <n v="1368312"/>
    <n v="1233760"/>
    <n v="9.8334298025596498E-2"/>
    <n v="55885.82"/>
    <n v="1.3536264108898901"/>
    <n v="29.883253403090634"/>
    <n v="879051"/>
    <n v="1130801.5899999999"/>
    <n v="240000"/>
    <n v="140736"/>
    <s v=""/>
    <n v="200000"/>
    <s v=""/>
    <s v=""/>
    <n v="645948"/>
    <n v="12128463.810000001"/>
    <n v="15365000.4"/>
    <n v="-157700"/>
    <s v=""/>
    <s v=""/>
    <s v=""/>
    <s v=""/>
    <n v="-12000"/>
    <s v=""/>
    <n v="-169700"/>
    <n v="-350931"/>
    <s v=""/>
    <s v=""/>
    <s v=""/>
    <s v=""/>
    <s v=""/>
    <s v=""/>
    <n v="14844369.4"/>
    <n v="835098"/>
    <n v="1074262"/>
    <n v="240000"/>
    <n v="140736"/>
    <s v=""/>
    <n v="200000"/>
    <s v=""/>
    <s v=""/>
    <n v="595948"/>
    <n v="12128463.810000001"/>
    <n v="15214507.770500001"/>
    <n v="-157700"/>
    <s v=""/>
    <s v=""/>
    <n v="15056807.770500001"/>
  </r>
  <r>
    <s v="Buildings of Excellence Round 1"/>
    <x v="2"/>
    <x v="0"/>
    <s v="Late Design"/>
    <n v="10041995"/>
    <n v="499.32847695291133"/>
    <n v="490220"/>
    <n v="24.375714782954603"/>
    <n v="4.8816993037738017E-2"/>
    <n v="490220"/>
    <n v="4.8816993037738017E-2"/>
    <n v="0"/>
    <n v="0"/>
    <n v="0"/>
    <n v="277430"/>
    <s v="Onsite Solar electric (PV) Power Purchase Agreement "/>
    <n v="20111"/>
    <n v="20111"/>
    <n v="1"/>
    <n v="4"/>
    <n v="20"/>
    <s v="Phius"/>
    <s v="NYC"/>
    <s v="All Electric"/>
    <s v="LMI"/>
    <s v="Yes"/>
    <s v="Block and Plank"/>
    <s v="VRF - ASHP"/>
    <s v="ERV"/>
    <s v="ASHP w/ CO2 "/>
    <s v="Yes"/>
    <s v="Mid Rise"/>
    <s v="Yes"/>
    <s v="No"/>
    <s v="No"/>
    <s v="No"/>
    <n v="4"/>
    <s v="No"/>
    <s v="NC"/>
    <s v="2016 ECCC of NYS"/>
    <s v="Yes"/>
    <s v="No"/>
    <n v="277430"/>
    <n v="0"/>
    <n v="1"/>
    <n v="4"/>
    <n v="1.9889612649793645E-4"/>
    <n v="0"/>
    <s v=""/>
    <s v=""/>
    <s v=""/>
    <s v=""/>
    <s v=""/>
    <s v=""/>
    <s v=""/>
    <s v=""/>
    <s v=""/>
    <s v=""/>
    <s v=""/>
    <s v=""/>
    <s v=""/>
    <s v=""/>
    <s v=""/>
    <s v=""/>
    <s v=""/>
    <s v=""/>
    <s v=""/>
    <s v=""/>
    <s v=""/>
    <s v=""/>
    <s v=""/>
    <s v=""/>
    <s v=""/>
    <s v=""/>
    <s v=""/>
    <s v=""/>
    <s v=""/>
    <s v=""/>
    <s v=""/>
    <s v=""/>
    <s v=""/>
    <s v=""/>
    <s v=""/>
    <s v=""/>
    <s v=""/>
    <s v=""/>
    <s v=""/>
    <s v=""/>
    <s v=""/>
    <s v=""/>
  </r>
  <r>
    <s v="Buildings of Excellence Round 1"/>
    <x v="3"/>
    <x v="0"/>
    <s v="Early Design"/>
    <n v="2086824"/>
    <n v="467.58323997311226"/>
    <n v="104341.20000000001"/>
    <n v="23.379161998655615"/>
    <n v="0.05"/>
    <n v="97260"/>
    <n v="4.6606709526054904E-2"/>
    <n v="7081.2000000000116"/>
    <n v="1.5866457539771481"/>
    <n v="3.3932904739451012E-3"/>
    <n v="87531"/>
    <s v="Onsite Solar electric (PV) Owned"/>
    <n v="4463"/>
    <n v="4463"/>
    <n v="1"/>
    <n v="4"/>
    <n v="4"/>
    <s v="PHI"/>
    <s v="NYC"/>
    <s v="All Electric"/>
    <s v="Market Rate"/>
    <s v="Yes"/>
    <s v="Block and Steel Joists"/>
    <s v="VRF - ASHP"/>
    <s v="ERV"/>
    <s v="ASHP w/ CO2 "/>
    <s v="Yes"/>
    <s v="Mid Rise"/>
    <s v="Yes"/>
    <s v="No"/>
    <s v="No"/>
    <s v="No"/>
    <n v="4"/>
    <s v="No"/>
    <s v="NC"/>
    <s v="2016 ECCC of NYS"/>
    <s v="No"/>
    <s v="No"/>
    <n v="100503"/>
    <n v="12972"/>
    <n v="0.87092922599325395"/>
    <n v="993.38"/>
    <n v="0.22258122339233699"/>
    <n v="2.9065650907461347"/>
    <s v=""/>
    <s v=""/>
    <s v=""/>
    <s v=""/>
    <s v=""/>
    <s v=""/>
    <s v=""/>
    <s v=""/>
    <s v=""/>
    <s v=""/>
    <s v=""/>
    <s v=""/>
    <s v=""/>
    <s v=""/>
    <s v=""/>
    <s v=""/>
    <s v=""/>
    <s v=""/>
    <s v=""/>
    <s v=""/>
    <s v=""/>
    <s v=""/>
    <s v=""/>
    <s v=""/>
    <s v=""/>
    <s v=""/>
    <s v=""/>
    <s v=""/>
    <s v=""/>
    <s v=""/>
    <s v=""/>
    <s v=""/>
    <s v=""/>
    <s v=""/>
    <s v=""/>
    <s v=""/>
    <s v=""/>
    <s v=""/>
    <s v=""/>
    <s v=""/>
    <s v=""/>
    <s v=""/>
  </r>
  <r>
    <s v="Buildings of Excellence Round 1"/>
    <x v="4"/>
    <x v="1"/>
    <s v="Under Construction"/>
    <n v="67854834.129999995"/>
    <n v="317.93590255033428"/>
    <n v="1098088.0540000051"/>
    <n v="6.5507843765667486"/>
    <n v="2.060410392163765E-2"/>
    <n v="1005526"/>
    <n v="1.4818782079307105E-2"/>
    <n v="92562.054000005126"/>
    <n v="1.8670286116169068"/>
    <n v="5.8723428107378553E-3"/>
    <n v="1674239"/>
    <s v="Onsite Solar electric (PV) Owned"/>
    <n v="213423"/>
    <n v="156200"/>
    <n v="1"/>
    <n v="12"/>
    <n v="174"/>
    <s v="Phius"/>
    <s v="NYC"/>
    <s v="Fossil Fuels"/>
    <s v="LMI"/>
    <s v="Yes"/>
    <s v="ICF and Plank "/>
    <s v="VRF - ASHP"/>
    <s v="ERV"/>
    <s v="Fossil Fuel"/>
    <s v="Yes"/>
    <s v="Mid Rise"/>
    <s v="Yes"/>
    <s v="No"/>
    <s v="No"/>
    <s v="No"/>
    <n v="4"/>
    <s v="Yes"/>
    <s v="NC"/>
    <s v="2014 ECCC of NYS (commercial only)"/>
    <s v="Yes"/>
    <s v="Yes"/>
    <n v="8758523"/>
    <n v="7084284"/>
    <n v="0.191155403713617"/>
    <n v="70693.27"/>
    <n v="0.45258175416133167"/>
    <n v="33.193629552578685"/>
    <n v="366127.82999999996"/>
    <n v="8908493.25"/>
    <n v="575000"/>
    <n v="625000"/>
    <n v="679194.51"/>
    <n v="300000"/>
    <s v=""/>
    <s v=""/>
    <n v="1195947.3"/>
    <n v="55205071.239999987"/>
    <n v="67854834.129999995"/>
    <n v="-300000"/>
    <s v=""/>
    <s v=""/>
    <s v=""/>
    <s v=""/>
    <n v="-20000"/>
    <s v=""/>
    <n v="-320000"/>
    <n v="-500000"/>
    <s v=""/>
    <n v="-185526"/>
    <s v=""/>
    <s v=""/>
    <s v=""/>
    <n v="-185526"/>
    <n v="66849308.129999995"/>
    <n v="347821.43849999993"/>
    <n v="8463068.5875000004"/>
    <n v="575000"/>
    <n v="625000"/>
    <n v="72837.510000000009"/>
    <n v="300000"/>
    <s v=""/>
    <s v=""/>
    <n v="1167947.3"/>
    <n v="55205071.239999987"/>
    <n v="66756746.07599999"/>
    <n v="-300000"/>
    <s v=""/>
    <s v=""/>
    <n v="66456746.07599999"/>
  </r>
  <r>
    <s v="Buildings of Excellence Round 1"/>
    <x v="5"/>
    <x v="1"/>
    <s v="Late Design"/>
    <n v="56364006.340000004"/>
    <n v="765.34943865690457"/>
    <n v="16961458.189999998"/>
    <n v="244.28674108694705"/>
    <n v="0.31918327596299106"/>
    <n v="1028990"/>
    <n v="1.8256154358384454E-2"/>
    <n v="15932468.189999998"/>
    <n v="234.59724715279722"/>
    <n v="0.30652305378898159"/>
    <n v="418916"/>
    <s v="Onsite Solar electric (PV) Owned"/>
    <n v="73644.800000000003"/>
    <n v="73644.800000000003"/>
    <n v="1"/>
    <n v="8"/>
    <n v="94"/>
    <s v="ASHRAE"/>
    <s v="NYC"/>
    <s v="All Electric"/>
    <s v="LMI"/>
    <s v="Yes"/>
    <s v="Block and Plank"/>
    <s v="VRF - ASHP"/>
    <s v="ERV"/>
    <s v="ASHP"/>
    <s v="Yes"/>
    <s v="Mid Rise"/>
    <s v="Yes"/>
    <s v="No"/>
    <s v="No"/>
    <s v="No"/>
    <n v="4"/>
    <s v="No"/>
    <s v="NC"/>
    <s v="2016 ECCC of NYS"/>
    <s v="Yes"/>
    <s v="No"/>
    <n v="4414341"/>
    <n v="3995425"/>
    <n v="9.489887618559599E-2"/>
    <n v="55225.38"/>
    <n v="0.7498883831580776"/>
    <n v="54.25264241331363"/>
    <n v="1965400"/>
    <n v="5651719.0199999996"/>
    <n v="1791250"/>
    <n v="239216.96"/>
    <n v="2535918.75"/>
    <n v="294500"/>
    <s v=""/>
    <n v="310000"/>
    <n v="2405000"/>
    <n v="41171001.610000007"/>
    <n v="56364006.340000004"/>
    <n v="-300000"/>
    <n v="-39240"/>
    <s v=""/>
    <s v=""/>
    <s v=""/>
    <s v=""/>
    <s v=""/>
    <n v="-339240"/>
    <n v="-637500"/>
    <s v=""/>
    <n v="-52250"/>
    <s v=""/>
    <s v=""/>
    <s v=""/>
    <n v="-52250"/>
    <n v="55335016.340000004"/>
    <n v="2040400"/>
    <n v="20555045.059999999"/>
    <n v="2549800"/>
    <n v="239217"/>
    <n v="250000"/>
    <n v="3795818.75"/>
    <s v=""/>
    <n v="310000"/>
    <n v="8025192"/>
    <n v="1637075.34"/>
    <n v="39402548.150000006"/>
    <n v="-339240"/>
    <n v="-637500"/>
    <n v="-52250"/>
    <n v="38373558.150000006"/>
  </r>
  <r>
    <s v="Buildings of Excellence Round 1"/>
    <x v="6"/>
    <x v="2"/>
    <s v="Under Construction"/>
    <n v="94135276.839999989"/>
    <n v="522.5238091643306"/>
    <n v="1973585.0600000024"/>
    <n v="10.95492803419279"/>
    <n v="2.0965414096082904E-2"/>
    <n v="1258200"/>
    <n v="1.3365871352761193E-2"/>
    <n v="715385.06000000238"/>
    <n v="4.024736127455995"/>
    <n v="7.7024932775651561E-3"/>
    <n v="131675"/>
    <s v="Onsite Solar electric (PV) Owned"/>
    <n v="180155"/>
    <n v="157525"/>
    <n v="1"/>
    <n v="10"/>
    <n v="178"/>
    <s v="ASHRAE"/>
    <s v="NYC"/>
    <s v="Fossil Fuels"/>
    <s v="LMI"/>
    <s v="Yes"/>
    <s v="Block and Plank"/>
    <s v="VRF - ASHP"/>
    <s v="ERV"/>
    <s v="Fossil Fuel"/>
    <s v="Yes"/>
    <s v="Mid Rise"/>
    <s v="Yes"/>
    <s v="No"/>
    <s v="No"/>
    <s v="No"/>
    <n v="4"/>
    <s v="Yes"/>
    <s v="NC"/>
    <s v="2014 ECCC of NYS"/>
    <s v="Yes"/>
    <s v="Yes"/>
    <n v="3381094"/>
    <n v="3249419"/>
    <n v="3.8944495479865393E-2"/>
    <n v="209462.04"/>
    <n v="1.3297066497381369"/>
    <n v="18.036796092253894"/>
    <n v="2028100"/>
    <n v="8918168"/>
    <n v="91500"/>
    <n v="404336"/>
    <n v="339261"/>
    <n v="639515.63"/>
    <n v="403739.06"/>
    <n v="45775"/>
    <n v="100000"/>
    <n v="81164882.149999991"/>
    <n v="94135276.839999989"/>
    <n v="-300000"/>
    <n v="-78200"/>
    <n v="-130000"/>
    <s v=""/>
    <s v=""/>
    <s v=""/>
    <s v=""/>
    <n v="-508200"/>
    <n v="-750000"/>
    <s v=""/>
    <s v=""/>
    <s v=""/>
    <s v=""/>
    <s v=""/>
    <s v=""/>
    <n v="92877076.839999989"/>
    <n v="1138100"/>
    <n v="8552583"/>
    <n v="91500"/>
    <n v="404336"/>
    <n v="25000"/>
    <n v="639515.63"/>
    <s v=""/>
    <n v="45775"/>
    <n v="100000"/>
    <n v="81164882.149999991"/>
    <n v="92161691.779999986"/>
    <s v=""/>
    <s v=""/>
    <s v=""/>
    <n v="92161691.779999986"/>
  </r>
  <r>
    <s v="Buildings of Excellence Round 1"/>
    <x v="7"/>
    <x v="1"/>
    <s v="Under Construction"/>
    <n v="27515301.850000005"/>
    <n v="425.11088219389734"/>
    <n v="1359800"/>
    <n v="16.405987022016248"/>
    <n v="3.8592253713545993E-2"/>
    <n v="695054"/>
    <n v="2.5260635110931913E-2"/>
    <n v="288080.51000000164"/>
    <n v="5.8142887723374486"/>
    <n v="1.3677111115884098E-2"/>
    <n v="62783"/>
    <s v="Onsite Solar electric (PV) Owned"/>
    <n v="64725"/>
    <n v="55672"/>
    <n v="1"/>
    <n v="24"/>
    <n v="55"/>
    <s v="PHI"/>
    <s v="NYC"/>
    <s v="Fossil Fuels"/>
    <s v="Market Rate"/>
    <s v="Yes"/>
    <s v="Block and Plank"/>
    <s v="Minisplit - ASHP"/>
    <s v="ERV"/>
    <s v="Fossil Fuel"/>
    <s v="Yes"/>
    <s v="Mid Rise"/>
    <s v="Yes"/>
    <s v="No"/>
    <s v="No"/>
    <s v="No"/>
    <n v="4"/>
    <s v="Yes"/>
    <s v="NC"/>
    <s v="2014 ECCC of NYS"/>
    <s v="No"/>
    <s v="Yes"/>
    <n v="1298297"/>
    <n v="1235514"/>
    <n v="4.8357964317871795E-2"/>
    <n v="76016.97"/>
    <n v="1.3654434904440294"/>
    <n v="19.0886674391657"/>
    <n v="1755748.5"/>
    <n v="5414207.7699999996"/>
    <n v="356582"/>
    <n v="462963.94"/>
    <n v="157000"/>
    <n v="246715.67"/>
    <n v="50000"/>
    <n v="53050"/>
    <n v="198249.76"/>
    <n v="18820784.210000005"/>
    <n v="27515301.850000005"/>
    <n v="-139050"/>
    <n v="-6610"/>
    <s v=""/>
    <s v=""/>
    <s v=""/>
    <s v=""/>
    <s v=""/>
    <n v="-145660"/>
    <n v="-500000"/>
    <n v="-49394"/>
    <s v=""/>
    <s v=""/>
    <s v=""/>
    <s v=""/>
    <n v="-49394"/>
    <n v="26820247.850000005"/>
    <n v="2005748.5"/>
    <n v="4737497.7699999996"/>
    <n v="306582"/>
    <n v="352963.94"/>
    <s v=""/>
    <n v="226715.67"/>
    <s v=""/>
    <n v="34500"/>
    <n v="47375.25"/>
    <n v="18820784.210000005"/>
    <n v="26532167.340000004"/>
    <s v=""/>
    <s v=""/>
    <n v="-78743"/>
    <n v="26453424.340000004"/>
  </r>
  <r>
    <s v="Buildings of Excellence Round 1"/>
    <x v="8"/>
    <x v="3"/>
    <s v="Completed within 3 years"/>
    <n v="10894446"/>
    <n v="117.79817049435579"/>
    <n v="974226"/>
    <n v="10.533995069417411"/>
    <n v="8.942409737952714E-2"/>
    <n v="1604085"/>
    <n v="0.14723878570787355"/>
    <n v="-629859"/>
    <n v="-1.6177976944804289"/>
    <n v="-1.3733640239836703E-2"/>
    <n v="1561768"/>
    <s v="Onsite Solar electric (PV) Owned_x000a_and_x000a_Onsite Solar electric (PV) Leased"/>
    <n v="92484"/>
    <n v="92484"/>
    <n v="3"/>
    <n v="3"/>
    <n v="72"/>
    <s v="ERI"/>
    <s v="Capital Region"/>
    <s v="All Electric"/>
    <s v="Market Rate"/>
    <s v="Yes"/>
    <s v="Wood Frame"/>
    <s v="Minisplit - ASHP"/>
    <s v="ERV"/>
    <s v="Solar Thermal"/>
    <s v="Yes"/>
    <s v="Low Rise"/>
    <s v="Yes"/>
    <s v="Yes"/>
    <s v="No"/>
    <s v="ASHP"/>
    <n v="5"/>
    <s v="No"/>
    <s v="NC"/>
    <s v="2016 ECCC of NYS"/>
    <s v="No"/>
    <s v="No"/>
    <n v="1784913"/>
    <n v="0"/>
    <n v="1"/>
    <n v="0"/>
    <n v="0"/>
    <n v="0"/>
    <n v="575523"/>
    <n v="884237"/>
    <n v="60000"/>
    <n v="299400"/>
    <n v="678000"/>
    <n v="51000"/>
    <n v="45000"/>
    <n v="20826"/>
    <s v=""/>
    <n v="8280460"/>
    <n v="10894446"/>
    <n v="-184800"/>
    <n v="-209250"/>
    <s v=""/>
    <n v="-78000"/>
    <s v=""/>
    <s v=""/>
    <n v="-99000"/>
    <n v="-571050"/>
    <n v="-750000"/>
    <s v=""/>
    <n v="-139035"/>
    <s v=""/>
    <s v=""/>
    <n v="-144000"/>
    <n v="-283035"/>
    <n v="9785825"/>
    <n v="575523"/>
    <n v="680237"/>
    <n v="57600"/>
    <n v="281400"/>
    <s v=""/>
    <n v="45000"/>
    <s v=""/>
    <s v=""/>
    <s v=""/>
    <n v="8280460"/>
    <n v="9920220"/>
    <s v=""/>
    <s v=""/>
    <s v=""/>
    <n v="9920220"/>
  </r>
  <r>
    <s v="Buildings of Excellence Round 1"/>
    <x v="9"/>
    <x v="1"/>
    <s v="Early Design"/>
    <n v="99705057.298765123"/>
    <n v="997.05057298765121"/>
    <n v="32082969.298765123"/>
    <n v="337.82969298765124"/>
    <n v="0.33882904452413903"/>
    <n v="1800000"/>
    <n v="1.8053246733576608E-2"/>
    <n v="30282969.298765123"/>
    <n v="325.70981259803051"/>
    <n v="0.32667331168773572"/>
    <s v="-"/>
    <s v="-"/>
    <n v="100000"/>
    <n v="99002"/>
    <n v="1"/>
    <n v="13"/>
    <n v="153"/>
    <s v="Phius"/>
    <s v="NYC"/>
    <s v="All Electric"/>
    <s v="LMI"/>
    <s v="Yes"/>
    <s v="Modular"/>
    <s v="Minisplit - ASHP"/>
    <s v="ERV"/>
    <s v="Fossil Fuel"/>
    <s v="Yes"/>
    <s v="Mid Rise"/>
    <s v="Yes"/>
    <s v="No"/>
    <s v="No"/>
    <s v="?"/>
    <n v="4"/>
    <s v="Yes"/>
    <s v="NC"/>
    <s v="2016 ECCC of NYS_x0009__x000a__x0009_"/>
    <s v="Yes"/>
    <s v="No"/>
    <n v="0"/>
    <n v="0"/>
    <s v=""/>
    <n v="0"/>
    <n v="0"/>
    <n v="0"/>
    <n v="5074592.0401127683"/>
    <n v="6779865.4409556938"/>
    <n v="3559889.2908018893"/>
    <n v="572717.54664717428"/>
    <n v="232500"/>
    <n v="400000"/>
    <s v=""/>
    <n v="189900"/>
    <s v=""/>
    <n v="82895592.980247587"/>
    <n v="99705057.298765123"/>
    <n v="-600000"/>
    <n v="-100000"/>
    <s v=""/>
    <s v=""/>
    <s v=""/>
    <s v=""/>
    <s v=""/>
    <n v="-700000"/>
    <n v="-1000000"/>
    <s v=""/>
    <n v="-100000"/>
    <s v=""/>
    <s v=""/>
    <s v=""/>
    <n v="-100000"/>
    <n v="97905057.298765123"/>
    <n v="2316833"/>
    <n v="4095385"/>
    <n v="1625287"/>
    <n v="375000"/>
    <n v="125000"/>
    <n v="180000"/>
    <s v=""/>
    <n v="150000"/>
    <n v="19705251"/>
    <n v="39049332"/>
    <n v="67622088"/>
    <n v="-600000"/>
    <n v="-1000000"/>
    <n v="-100000"/>
    <n v="65922088"/>
  </r>
  <r>
    <s v="Buildings of Excellence Round 1"/>
    <x v="10"/>
    <x v="2"/>
    <s v="Under Construction"/>
    <n v="53843024.256789021"/>
    <n v="624.80301077781542"/>
    <n v="1060372.0998999998"/>
    <n v="13.584154519819901"/>
    <n v="2.1741499777520323E-2"/>
    <n v="938723"/>
    <n v="1.7434440449017631E-2"/>
    <n v="121649.0998999998"/>
    <n v="2.7388133136652297"/>
    <n v="4.3834829000834828E-3"/>
    <s v="-"/>
    <s v="-"/>
    <n v="86176"/>
    <n v="75523"/>
    <n v="1"/>
    <n v="13"/>
    <n v="96"/>
    <s v="ASHRAE"/>
    <s v="NYC"/>
    <s v="Fossil Fuels"/>
    <s v="LMI"/>
    <s v="Yes"/>
    <s v="Block and Plank"/>
    <s v="VRF - ASHP"/>
    <s v="ERV"/>
    <s v="Fossil Fuel"/>
    <s v="Yes"/>
    <s v="Mid Rise"/>
    <s v="No"/>
    <s v="No"/>
    <s v="No"/>
    <s v="No"/>
    <n v="4"/>
    <s v="Yes"/>
    <s v="NC"/>
    <s v="2016 ECCC of NYS"/>
    <s v="Yes"/>
    <s v="Yes"/>
    <n v="5458349"/>
    <n v="5458349"/>
    <n v="0"/>
    <n v="83675"/>
    <n v="1.107940627358553"/>
    <n v="63.33954929446714"/>
    <n v="1592848.1643980001"/>
    <n v="4967658.2130019991"/>
    <n v="1059435.67"/>
    <n v="183414"/>
    <n v="254596.04"/>
    <n v="807248.03250000044"/>
    <n v="325541.73"/>
    <n v="689125"/>
    <n v="502235.25"/>
    <n v="43460922.156889021"/>
    <n v="53843024.256789021"/>
    <n v="-77600"/>
    <n v="-50024"/>
    <n v="-108000"/>
    <s v=""/>
    <s v=""/>
    <s v=""/>
    <s v=""/>
    <n v="-235624"/>
    <n v="-647500"/>
    <s v=""/>
    <n v="-55599"/>
    <s v=""/>
    <s v=""/>
    <s v=""/>
    <n v="-55599"/>
    <n v="52904301.256789021"/>
    <n v="1555370"/>
    <n v="4870290"/>
    <n v="1308245"/>
    <n v="178195"/>
    <s v=""/>
    <n v="387520"/>
    <s v=""/>
    <n v="453360"/>
    <n v="568750"/>
    <n v="43460922.156889021"/>
    <n v="52782652.156889021"/>
    <n v="-110256"/>
    <s v=""/>
    <s v=""/>
    <n v="52672396.156889021"/>
  </r>
  <r>
    <s v="Buildings of Excellence Round 1"/>
    <x v="11"/>
    <x v="0"/>
    <s v="Early Design"/>
    <n v="16500000"/>
    <n v="176.15407609856086"/>
    <n v="2475000"/>
    <n v="26.423111414784131"/>
    <n v="0.15"/>
    <n v="1509600"/>
    <n v="9.1490909090909095E-2"/>
    <n v="965400"/>
    <n v="10.306614852457617"/>
    <n v="5.8509090909090906E-2"/>
    <n v="3818721"/>
    <s v="Onsite Solar electric (PV) Owned"/>
    <n v="93668"/>
    <n v="93668"/>
    <n v="12"/>
    <n v="2"/>
    <n v="96"/>
    <s v="ERI"/>
    <s v="Finger Lakes"/>
    <s v="All Electric"/>
    <s v="LMI"/>
    <s v="Yes"/>
    <s v="Panelized"/>
    <s v="VRF - GSHP"/>
    <s v="ERV"/>
    <s v="GSHP"/>
    <s v="Yes"/>
    <s v="Low Rise"/>
    <s v="Yes"/>
    <s v="Yes"/>
    <s v="No"/>
    <s v="No"/>
    <n v="5"/>
    <s v="Yes"/>
    <s v="NC"/>
    <s v="2016 ECCC of NYS"/>
    <s v="No"/>
    <s v="No"/>
    <n v="4580030"/>
    <n v="761309"/>
    <n v="0.83377641631168353"/>
    <n v="33380"/>
    <n v="0.35636503394969465"/>
    <n v="8.1277383951829876"/>
    <s v=""/>
    <s v=""/>
    <s v=""/>
    <s v=""/>
    <s v=""/>
    <s v=""/>
    <s v=""/>
    <s v=""/>
    <s v=""/>
    <s v=""/>
    <s v=""/>
    <s v=""/>
    <s v=""/>
    <s v=""/>
    <s v=""/>
    <s v=""/>
    <s v=""/>
    <s v=""/>
    <s v=""/>
    <s v=""/>
    <s v=""/>
    <s v=""/>
    <s v=""/>
    <s v=""/>
    <s v=""/>
    <s v=""/>
    <s v=""/>
    <s v=""/>
    <s v=""/>
    <s v=""/>
    <s v=""/>
    <s v=""/>
    <s v=""/>
    <s v=""/>
    <s v=""/>
    <s v=""/>
    <s v=""/>
    <s v=""/>
    <s v=""/>
    <s v=""/>
    <s v=""/>
    <s v=""/>
  </r>
  <r>
    <s v="Buildings of Excellence Round 1"/>
    <x v="12"/>
    <x v="0"/>
    <s v="Early Design"/>
    <n v="65837961"/>
    <n v="421.60849518759727"/>
    <n v="16459490.25"/>
    <n v="105.40212379689932"/>
    <n v="0.25"/>
    <n v="961820"/>
    <n v="1.4608897137625511E-2"/>
    <n v="15497670.25"/>
    <n v="99.24288865835463"/>
    <n v="0.2353911028623745"/>
    <n v="2131296"/>
    <s v="Onsite Solar electric (PV) Owned"/>
    <n v="156159"/>
    <n v="94499"/>
    <n v="1"/>
    <n v="8"/>
    <n v="88"/>
    <s v="Phius"/>
    <s v="Capital Region"/>
    <s v="All Electric"/>
    <s v="LMI"/>
    <s v="Yes"/>
    <s v="Modular"/>
    <s v="GSHP"/>
    <s v="ERV"/>
    <s v="Solar Thermal"/>
    <s v="Yes"/>
    <s v="Mid Rise"/>
    <s v="Yes"/>
    <s v="No"/>
    <s v="No"/>
    <s v="GSHP"/>
    <n v="5"/>
    <s v="No"/>
    <s v="NC"/>
    <s v="2019 ECCC of NYS 2020 (expected)"/>
    <s v="Yes"/>
    <s v="Yes"/>
    <n v="2437553"/>
    <n v="0"/>
    <n v="1"/>
    <n v="0"/>
    <n v="0"/>
    <n v="0"/>
    <s v=""/>
    <s v=""/>
    <s v=""/>
    <s v=""/>
    <s v=""/>
    <s v=""/>
    <s v=""/>
    <s v=""/>
    <s v=""/>
    <s v=""/>
    <s v=""/>
    <s v=""/>
    <s v=""/>
    <s v=""/>
    <s v=""/>
    <s v=""/>
    <s v=""/>
    <s v=""/>
    <s v=""/>
    <s v=""/>
    <s v=""/>
    <s v=""/>
    <s v=""/>
    <s v=""/>
    <s v=""/>
    <s v=""/>
    <s v=""/>
    <s v=""/>
    <s v=""/>
    <s v=""/>
    <s v=""/>
    <s v=""/>
    <s v=""/>
    <s v=""/>
    <s v=""/>
    <s v=""/>
    <s v=""/>
    <s v=""/>
    <s v=""/>
    <s v=""/>
    <s v=""/>
    <s v=""/>
  </r>
  <r>
    <s v="Buildings of Excellence Round 1"/>
    <x v="13"/>
    <x v="4"/>
    <s v="Early Design"/>
    <n v="14155205.931034483"/>
    <n v="231.21109945827453"/>
    <n v="0"/>
    <n v="19.54531852985011"/>
    <n v="8.453451661985352E-2"/>
    <n v="1846121"/>
    <n v="0.13041993235523935"/>
    <n v="-649517.50896551646"/>
    <n v="-12.200391678725353"/>
    <n v="-5.2767326946287434E-2"/>
    <n v="1547601"/>
    <s v="Onsite Solar electric (PV) Owned"/>
    <n v="61222"/>
    <n v="61222"/>
    <n v="4"/>
    <n v="3"/>
    <n v="87"/>
    <s v="ERI"/>
    <s v="Central NY"/>
    <s v="All Electric"/>
    <s v="LMI"/>
    <s v="Yes"/>
    <s v="Panelized"/>
    <s v="Minisplit - ASHP"/>
    <s v="ERV"/>
    <s v="ASHP"/>
    <s v="Yes"/>
    <s v="Low Rise"/>
    <s v="Yes"/>
    <s v="No"/>
    <s v="No"/>
    <s v="No"/>
    <n v="5"/>
    <s v="No"/>
    <s v="NC"/>
    <s v="2019 ECCC of NYS"/>
    <s v="No"/>
    <s v="No"/>
    <n v="1590641"/>
    <n v="43040"/>
    <n v="0.97294172600857143"/>
    <n v="5748"/>
    <n v="9.3887818104602921E-2"/>
    <n v="0.70301525595374215"/>
    <n v="520783"/>
    <n v="823994"/>
    <n v="73950"/>
    <n v="410325"/>
    <n v="571158"/>
    <n v="41511"/>
    <s v=""/>
    <s v=""/>
    <n v="64637.931034482703"/>
    <n v="11648847"/>
    <n v="14155205.931034483"/>
    <n v="-300000"/>
    <n v="-459000"/>
    <s v=""/>
    <s v=""/>
    <s v=""/>
    <n v="-60000"/>
    <n v="-159000"/>
    <n v="-978000"/>
    <n v="-727236"/>
    <s v=""/>
    <s v=""/>
    <s v=""/>
    <s v=""/>
    <n v="-140885"/>
    <n v="-140885"/>
    <n v="12309084.931034483"/>
    <n v="244875"/>
    <n v="702436.94"/>
    <n v="15570"/>
    <n v="305362.5"/>
    <s v=""/>
    <n v="41511"/>
    <s v=""/>
    <s v=""/>
    <s v=""/>
    <n v="11648847"/>
    <n v="12958602.439999999"/>
    <s v=""/>
    <s v=""/>
    <s v=""/>
    <n v="12958602.439999999"/>
  </r>
  <r>
    <s v="Buildings of Excellence Round 1"/>
    <x v="14"/>
    <x v="0"/>
    <s v="Late Design"/>
    <n v="233000000"/>
    <n v="655.4978829950345"/>
    <n v="18640000"/>
    <n v="52.439830639602761"/>
    <n v="0.08"/>
    <n v="1050000"/>
    <n v="4.5064377682403432E-3"/>
    <n v="17590000"/>
    <n v="49.485870222672347"/>
    <n v="7.5493562231759653E-2"/>
    <n v="623033"/>
    <s v="Onsite Solar electric (PV) Owned"/>
    <n v="355455"/>
    <n v="325332"/>
    <n v="1"/>
    <n v="34"/>
    <n v="348"/>
    <s v="PHI"/>
    <s v="NYC"/>
    <s v="Fossil Fuels"/>
    <s v="LMI"/>
    <s v="Yes"/>
    <s v="Block and Plank"/>
    <s v="VRF - ASHP"/>
    <s v="ERV"/>
    <s v="Fossil Fuel"/>
    <s v="Yes"/>
    <s v="High Rise"/>
    <s v="Yes"/>
    <s v="No"/>
    <s v="No"/>
    <s v="No"/>
    <n v="4"/>
    <s v="Yes"/>
    <s v="NC"/>
    <s v="2016 ECCC of NYS"/>
    <s v="Yes"/>
    <s v="Yes"/>
    <n v="10977322"/>
    <n v="10354289"/>
    <n v="5.675637464219415E-2"/>
    <n v="180352.11"/>
    <n v="0.55436326583305662"/>
    <n v="29.12967604900761"/>
    <s v=""/>
    <s v=""/>
    <s v=""/>
    <s v=""/>
    <s v=""/>
    <s v=""/>
    <s v=""/>
    <s v=""/>
    <s v=""/>
    <s v=""/>
    <s v=""/>
    <s v=""/>
    <s v=""/>
    <s v=""/>
    <s v=""/>
    <s v=""/>
    <s v=""/>
    <s v=""/>
    <s v=""/>
    <s v=""/>
    <s v=""/>
    <s v=""/>
    <s v=""/>
    <s v=""/>
    <s v=""/>
    <s v=""/>
    <s v=""/>
    <s v=""/>
    <s v=""/>
    <s v=""/>
    <s v=""/>
    <s v=""/>
    <s v=""/>
    <s v=""/>
    <s v=""/>
    <s v=""/>
    <s v=""/>
    <s v=""/>
    <s v=""/>
    <s v=""/>
    <s v=""/>
    <s v=""/>
  </r>
  <r>
    <s v="Buildings of Excellence Round 1"/>
    <x v="15"/>
    <x v="2"/>
    <s v="Under Construction"/>
    <n v="122540000"/>
    <n v="394.32613158792373"/>
    <n v="2087448"/>
    <n v="6.7172783966945344"/>
    <n v="1.7034829443447037E-2"/>
    <n v="1050000"/>
    <n v="8.5686306512159291E-3"/>
    <n v="1037448"/>
    <n v="3.3672965393335117"/>
    <n v="8.5393694954317232E-3"/>
    <s v="-"/>
    <s v="-"/>
    <n v="310758"/>
    <n v="264033"/>
    <n v="1"/>
    <n v="26"/>
    <n v="277"/>
    <s v="Phius"/>
    <s v="NYC"/>
    <s v="Fossil Fuels"/>
    <s v="LMI"/>
    <s v="Yes"/>
    <s v="Block and Plank"/>
    <s v="VRF - ASHP"/>
    <s v="ERV"/>
    <s v="Fossil Fuel"/>
    <s v="Yes"/>
    <s v="High Rise"/>
    <s v="No"/>
    <s v="No"/>
    <s v="No"/>
    <s v="No"/>
    <n v="4"/>
    <s v="Yes"/>
    <s v="NC"/>
    <s v="2016 ECCC of NYS"/>
    <s v="No"/>
    <s v="Yes"/>
    <n v="13586516"/>
    <n v="13586516"/>
    <n v="0"/>
    <n v="211330.99"/>
    <n v="0.8003961247268333"/>
    <n v="43.720567129406163"/>
    <n v="6998906"/>
    <n v="22898351.84"/>
    <n v="6106206"/>
    <n v="434701"/>
    <s v=""/>
    <n v="617156"/>
    <s v=""/>
    <n v="546700"/>
    <n v="50300"/>
    <n v="84887679.159999996"/>
    <n v="122540000"/>
    <n v="-300000"/>
    <s v=""/>
    <s v=""/>
    <s v=""/>
    <s v=""/>
    <s v=""/>
    <s v=""/>
    <n v="-300000"/>
    <n v="-750000"/>
    <s v=""/>
    <s v=""/>
    <s v=""/>
    <s v=""/>
    <s v=""/>
    <s v=""/>
    <n v="121490000"/>
    <n v="5890906"/>
    <n v="22202751.84"/>
    <n v="5856206"/>
    <n v="434701"/>
    <s v=""/>
    <n v="499708"/>
    <s v=""/>
    <n v="546700"/>
    <n v="133900"/>
    <n v="84887679.159999996"/>
    <n v="120452552"/>
    <s v=""/>
    <s v=""/>
    <s v=""/>
    <n v="120452552"/>
  </r>
  <r>
    <s v="Buildings of Excellence Round 1"/>
    <x v="16"/>
    <x v="0"/>
    <s v="Early Design"/>
    <n v="22578074"/>
    <n v="235.44333444564944"/>
    <n v="2032026.66"/>
    <n v="21.189900100108449"/>
    <n v="0.09"/>
    <n v="1215000"/>
    <n v="5.3813270343608582E-2"/>
    <n v="817026.65999999992"/>
    <n v="8.5199242929840651"/>
    <n v="3.6186729656391414E-2"/>
    <n v="346716"/>
    <s v="Onsite Solar electric (PV) Owned_x000a_and_x000a_Remote Solar electric (PV) Owned"/>
    <n v="95896"/>
    <n v="91630"/>
    <n v="1"/>
    <n v="5"/>
    <n v="77"/>
    <s v="Phius"/>
    <s v="Capital Region"/>
    <s v="All Electric"/>
    <s v="LMI"/>
    <s v="Yes"/>
    <s v="Panelized"/>
    <s v="VRF - ASHP"/>
    <s v="ERV"/>
    <s v="ASHP w/ CO2 "/>
    <s v="Yes"/>
    <s v="Mid Rise"/>
    <s v="Yes"/>
    <s v="No"/>
    <s v="No"/>
    <s v="No"/>
    <n v="4"/>
    <s v="Yes"/>
    <s v="NC"/>
    <s v="2019 ECCC of NYS 2020 (expected)"/>
    <s v="No"/>
    <s v="Yes"/>
    <n v="1536630"/>
    <n v="1396441"/>
    <n v="9.1231461054385246E-2"/>
    <n v="89016.87"/>
    <n v="0.97148171996071153"/>
    <n v="14.562035955618587"/>
    <s v=""/>
    <s v=""/>
    <s v=""/>
    <s v=""/>
    <s v=""/>
    <s v=""/>
    <s v=""/>
    <s v=""/>
    <s v=""/>
    <s v=""/>
    <s v=""/>
    <s v=""/>
    <s v=""/>
    <s v=""/>
    <s v=""/>
    <s v=""/>
    <s v=""/>
    <s v=""/>
    <s v=""/>
    <s v=""/>
    <s v=""/>
    <s v=""/>
    <s v=""/>
    <s v=""/>
    <s v=""/>
    <s v=""/>
    <s v=""/>
    <s v=""/>
    <s v=""/>
    <s v=""/>
    <s v=""/>
    <s v=""/>
    <s v=""/>
    <s v=""/>
    <s v=""/>
    <s v=""/>
    <s v=""/>
    <s v=""/>
    <s v=""/>
    <s v=""/>
    <s v=""/>
    <s v=""/>
  </r>
  <r>
    <s v="Buildings of Excellence Round 1"/>
    <x v="17"/>
    <x v="1"/>
    <s v="Late Design"/>
    <n v="5981080"/>
    <n v="345.66722533664682"/>
    <n v="221257.05627705622"/>
    <n v="15.302028549962435"/>
    <n v="4.4268092050265169E-2"/>
    <n v="246596"/>
    <n v="4.1229343195543278E-2"/>
    <n v="-25338.943722943775"/>
    <n v="1.0955653238362086"/>
    <n v="3.1694220439014219E-3"/>
    <n v="59904"/>
    <s v="Onsite Solar electric (PV) Owned"/>
    <n v="17303"/>
    <n v="17303"/>
    <n v="1"/>
    <n v="5"/>
    <n v="10"/>
    <s v="PHI"/>
    <s v="NYC"/>
    <s v="All Electric"/>
    <s v="Market Rate"/>
    <s v="Yes"/>
    <s v="Structural Steel"/>
    <s v="VRF - ASHP"/>
    <s v="ERV"/>
    <s v="ASHP"/>
    <s v="Yes"/>
    <s v="Mid Rise"/>
    <s v="Yes"/>
    <s v="Yes"/>
    <s v="No"/>
    <s v="No"/>
    <n v="4"/>
    <s v="No"/>
    <s v="NC"/>
    <s v="2016 ECCC of NYS"/>
    <s v="Yes"/>
    <s v="No"/>
    <n v="362828"/>
    <n v="302924"/>
    <n v="0.16510302402240179"/>
    <n v="2283.23"/>
    <n v="0.13195573022019302"/>
    <n v="17.507021903716119"/>
    <n v="275000"/>
    <n v="1286500"/>
    <n v="105000"/>
    <n v="120000"/>
    <n v="40000"/>
    <n v="80000"/>
    <s v=""/>
    <s v=""/>
    <n v="186730"/>
    <n v="3887850"/>
    <n v="5981080"/>
    <s v=""/>
    <n v="-13608"/>
    <s v=""/>
    <s v=""/>
    <s v=""/>
    <s v=""/>
    <s v=""/>
    <n v="-13608"/>
    <n v="-203082"/>
    <n v="-11156"/>
    <n v="-18750"/>
    <s v=""/>
    <s v=""/>
    <s v=""/>
    <n v="-29906"/>
    <n v="5734484"/>
    <n v="250909.09090909088"/>
    <n v="1239704.5454545454"/>
    <n v="95454.545454545441"/>
    <n v="95000"/>
    <n v="50000"/>
    <n v="85000"/>
    <s v=""/>
    <s v=""/>
    <n v="161904.76190476189"/>
    <n v="3781850"/>
    <n v="5759822.9437229438"/>
    <n v="-13608"/>
    <s v=""/>
    <n v="-29906"/>
    <n v="5716309"/>
  </r>
  <r>
    <s v="Buildings of Excellence Round 1"/>
    <x v="18"/>
    <x v="3"/>
    <s v="Completed within 3 years"/>
    <n v="452607.35"/>
    <n v="113.94948388721046"/>
    <n v="67107.349999999977"/>
    <n v="16.8951032225579"/>
    <n v="0.14826836108604949"/>
    <n v="66322"/>
    <n v="0.14653319262270045"/>
    <n v="785.34999999997672"/>
    <n v="0.2316687059729759"/>
    <n v="2.0330825385947893E-3"/>
    <n v="162212"/>
    <s v="Onsite Solar electric (PV) Owned_x000a_and_x000a_Remote Solar electric (PV) Owned"/>
    <n v="3972"/>
    <n v="3972"/>
    <n v="1"/>
    <n v="3"/>
    <n v="3"/>
    <s v="Phius"/>
    <s v="Mid Hudson"/>
    <s v="All Electric"/>
    <s v="LMI"/>
    <s v="Yes"/>
    <s v="Gut Rehab"/>
    <s v="Minisplit - ASHP"/>
    <s v="ERV"/>
    <s v="ASHP"/>
    <s v="Yes"/>
    <s v="Low Rise"/>
    <s v="Yes"/>
    <s v="No"/>
    <s v="No"/>
    <s v="No"/>
    <n v="5"/>
    <s v="No"/>
    <s v="GR"/>
    <s v="2019 ECCC of NYS 2020 (expected)"/>
    <s v="No"/>
    <s v="No"/>
    <n v="162212"/>
    <n v="0"/>
    <n v="1"/>
    <n v="288"/>
    <n v="7.2507552870090641E-2"/>
    <n v="0"/>
    <n v="8539.65"/>
    <n v="96977.91"/>
    <n v="5400"/>
    <n v="7000"/>
    <n v="27815"/>
    <n v="2147.13"/>
    <n v="2300"/>
    <n v="7650"/>
    <n v="5000"/>
    <n v="289777.65999999997"/>
    <n v="452607.35"/>
    <n v="-12600"/>
    <s v=""/>
    <s v=""/>
    <s v=""/>
    <s v=""/>
    <s v=""/>
    <s v=""/>
    <n v="-12600"/>
    <n v="-39467"/>
    <s v=""/>
    <n v="-14255"/>
    <s v=""/>
    <s v=""/>
    <s v=""/>
    <n v="-14255"/>
    <n v="386285.35"/>
    <n v="10000"/>
    <n v="85000"/>
    <n v="5000"/>
    <n v="6000"/>
    <n v="28000"/>
    <n v="2000"/>
    <n v="2000"/>
    <n v="7500"/>
    <n v="5000"/>
    <n v="235000"/>
    <n v="385500"/>
    <s v=""/>
    <s v=""/>
    <s v=""/>
    <n v="385500"/>
  </r>
  <r>
    <s v="Buildings of Excellence Round 1"/>
    <x v="19"/>
    <x v="2"/>
    <s v="Completed within 3 years"/>
    <n v="47623777.640000001"/>
    <n v="290.84466291688807"/>
    <n v="3329736.3100000024"/>
    <n v="20.335136830276728"/>
    <n v="6.9917517572215898E-2"/>
    <n v="541000"/>
    <n v="1.1359871618953746E-2"/>
    <n v="2788736.3100000024"/>
    <n v="17.226873874088561"/>
    <n v="5.9230496792754696E-2"/>
    <n v="399210"/>
    <s v="Onsite Solar electric (PV) Owned"/>
    <n v="163743"/>
    <n v="159146"/>
    <n v="1"/>
    <n v="15"/>
    <n v="154"/>
    <s v="Phius"/>
    <s v="NYC"/>
    <s v="Fossil Fuels"/>
    <s v="LMI"/>
    <s v="Yes"/>
    <s v="Cast in Place Concrete"/>
    <s v="VRF - ASHP"/>
    <s v="ERV"/>
    <s v="Fossil Fuel"/>
    <s v="Yes"/>
    <s v="Mid Rise"/>
    <s v="Yes"/>
    <s v="No"/>
    <s v="No"/>
    <s v="No"/>
    <n v="4"/>
    <s v="Yes"/>
    <s v="NC"/>
    <s v="2014 ECCC of NYS"/>
    <s v="Yes"/>
    <s v="Yes"/>
    <n v="7223793"/>
    <n v="6824583"/>
    <n v="5.5263211445842925E-2"/>
    <n v="268095.03000000003"/>
    <n v="1.684585412137283"/>
    <n v="41.678624429746613"/>
    <n v="3770484.94"/>
    <n v="4079691.16"/>
    <n v="3048214.42"/>
    <n v="63526"/>
    <n v="682830"/>
    <n v="141119.70000000001"/>
    <n v="365000"/>
    <n v="73675"/>
    <s v=""/>
    <n v="35399236.420000002"/>
    <n v="47623777.640000001"/>
    <n v="-138600"/>
    <s v=""/>
    <n v="-132000"/>
    <s v=""/>
    <s v=""/>
    <s v=""/>
    <s v=""/>
    <n v="-270600"/>
    <n v="-250000"/>
    <s v=""/>
    <n v="-20400"/>
    <s v=""/>
    <s v=""/>
    <s v=""/>
    <n v="-20400"/>
    <n v="47082777.640000001"/>
    <n v="2576989.96"/>
    <n v="2982954.83"/>
    <n v="2958214.42"/>
    <n v="38526"/>
    <n v="197000"/>
    <n v="141119.70000000001"/>
    <s v=""/>
    <s v=""/>
    <s v=""/>
    <n v="35399236.420000002"/>
    <n v="44294041.329999998"/>
    <s v=""/>
    <s v=""/>
    <s v=""/>
    <n v="44294041.329999998"/>
  </r>
  <r>
    <s v="Buildings of Excellence Round 1"/>
    <x v="20"/>
    <x v="4"/>
    <s v="Under Construction"/>
    <n v="664160"/>
    <n v="188.25396825396825"/>
    <n v="82160.415384615306"/>
    <n v="23.288099598813861"/>
    <n v="0.12370575672219843"/>
    <n v="81309"/>
    <n v="0.12242381353890629"/>
    <n v="851.41538461530581"/>
    <n v="0.2749970829359647"/>
    <n v="1.4607770847357314E-3"/>
    <n v="135042"/>
    <s v="Onsite Solar electric (PV) Owned"/>
    <n v="3528"/>
    <n v="3528"/>
    <n v="1"/>
    <n v="3"/>
    <n v="4"/>
    <s v="ERI"/>
    <s v="Southern Tier"/>
    <s v="All Electric"/>
    <s v="Market Rate"/>
    <s v="Yes"/>
    <s v="Wood Frame"/>
    <s v="Multisplit - ASHP"/>
    <s v="ERV"/>
    <s v="ASHP w/ CO2 "/>
    <s v="Yes"/>
    <s v="Low Rise"/>
    <s v="Yes"/>
    <s v="No"/>
    <s v="No"/>
    <s v="No"/>
    <n v="6"/>
    <s v="No"/>
    <s v="NC"/>
    <s v="2016 ECCC of NYS"/>
    <s v="No"/>
    <s v="No"/>
    <n v="135042"/>
    <n v="0"/>
    <n v="1"/>
    <n v="1862.52"/>
    <n v="0.52792517006802719"/>
    <n v="0"/>
    <n v="30000"/>
    <n v="64925.8"/>
    <n v="12400"/>
    <n v="21000"/>
    <n v="34600"/>
    <n v="750"/>
    <s v=""/>
    <s v=""/>
    <s v=""/>
    <n v="500484.2"/>
    <n v="664160"/>
    <n v="-6400"/>
    <s v=""/>
    <s v=""/>
    <s v=""/>
    <s v=""/>
    <s v=""/>
    <s v=""/>
    <n v="-6400"/>
    <n v="-59976"/>
    <n v="-7500"/>
    <n v="-7433"/>
    <s v=""/>
    <s v=""/>
    <s v=""/>
    <n v="-14933"/>
    <n v="582851"/>
    <n v="17200"/>
    <n v="37815.384615384617"/>
    <n v="7900"/>
    <n v="18600"/>
    <s v=""/>
    <s v=""/>
    <s v=""/>
    <s v=""/>
    <s v=""/>
    <n v="500484.2"/>
    <n v="581999.58461538469"/>
    <s v=""/>
    <s v=""/>
    <s v=""/>
    <n v="581999.58461538469"/>
  </r>
  <r>
    <s v="Buildings of Excellence Round 1"/>
    <x v="21"/>
    <x v="2"/>
    <s v="Completed within 3 years"/>
    <n v="56860269.412500001"/>
    <n v="407.85778421154566"/>
    <n v="188271.41250000149"/>
    <n v="1.3504677681978703"/>
    <n v="3.3111241723841082E-3"/>
    <n v="524617.80000000005"/>
    <n v="9.2264388723538055E-3"/>
    <n v="-336346.38749999856"/>
    <n v="-2.4350742097898741"/>
    <n v="-5.9704002327606968E-3"/>
    <s v="-"/>
    <s v="-"/>
    <n v="139412"/>
    <n v="137000"/>
    <n v="1"/>
    <n v="22"/>
    <n v="140"/>
    <s v="PHI"/>
    <s v="NYC"/>
    <s v="Fossil Fuels"/>
    <s v="Market Rate"/>
    <s v="Yes"/>
    <s v="Block and Plank"/>
    <s v="VRF - ASHP"/>
    <s v="ERV"/>
    <s v="Fossil Fuel"/>
    <s v="Yes"/>
    <s v="Mid Rise"/>
    <s v="No"/>
    <s v="No"/>
    <s v="No"/>
    <s v="No"/>
    <n v="4"/>
    <s v="Yes"/>
    <s v="NC"/>
    <s v="2016 ECCC of NYS"/>
    <s v="No"/>
    <s v="Yes"/>
    <n v="3897065"/>
    <n v="3897065"/>
    <n v="0"/>
    <n v="72696.42"/>
    <n v="0.53063080291970799"/>
    <n v="27.953583622643674"/>
    <n v="3168000"/>
    <n v="16052777"/>
    <n v="307000"/>
    <n v="788116"/>
    <n v="3072683"/>
    <n v="553272"/>
    <s v=""/>
    <s v=""/>
    <n v="7001039.7062499998"/>
    <n v="25917381.706250001"/>
    <n v="56860269.412500001"/>
    <n v="-52500"/>
    <s v=""/>
    <n v="-47117.8"/>
    <s v=""/>
    <s v=""/>
    <s v=""/>
    <s v=""/>
    <n v="-99617.8"/>
    <n v="-425000"/>
    <s v=""/>
    <s v=""/>
    <s v=""/>
    <s v=""/>
    <s v=""/>
    <s v=""/>
    <n v="56335651.612500004"/>
    <n v="3868000"/>
    <n v="15242777"/>
    <n v="307000"/>
    <n v="788116"/>
    <n v="3072683"/>
    <n v="475000"/>
    <s v=""/>
    <s v=""/>
    <n v="7001040"/>
    <n v="25917382"/>
    <n v="56671998"/>
    <s v=""/>
    <s v=""/>
    <s v=""/>
    <n v="56671998"/>
  </r>
  <r>
    <s v="Buildings of Excellence Round 1"/>
    <x v="22"/>
    <x v="0"/>
    <s v="Early Design"/>
    <n v="86149665.280000001"/>
    <n v="516.76053337812141"/>
    <n v="4307483.2640000004"/>
    <n v="25.838026668906075"/>
    <n v="0.05"/>
    <n v="1300000"/>
    <n v="1.5090018002679348E-2"/>
    <n v="3007483.2640000004"/>
    <n v="18.040100917156039"/>
    <n v="3.4909981997320656E-2"/>
    <n v="1465877"/>
    <s v="Onsite Solar electric (PV) Owned"/>
    <n v="166711"/>
    <n v="159076"/>
    <n v="1"/>
    <n v="13"/>
    <n v="168"/>
    <s v="PHI"/>
    <s v="NYC"/>
    <s v="All Electric"/>
    <s v="LMI"/>
    <s v="Yes"/>
    <s v="Cast in Place Concrete"/>
    <s v="VRF - ASHP"/>
    <s v="ERV"/>
    <s v="ASHP"/>
    <s v="Yes"/>
    <s v="Mid Rise"/>
    <s v="Yes"/>
    <s v="No"/>
    <s v="No"/>
    <s v="No"/>
    <n v="4"/>
    <s v="No"/>
    <s v="NC"/>
    <s v="2016 ECCC of NYS"/>
    <s v="Yes"/>
    <s v="Yes"/>
    <n v="6241173"/>
    <n v="4775296"/>
    <n v="0.23487203447172511"/>
    <n v="65284.1"/>
    <n v="0.41039565993613114"/>
    <n v="28.644156654329947"/>
    <s v=""/>
    <s v=""/>
    <s v=""/>
    <s v=""/>
    <s v=""/>
    <s v=""/>
    <s v=""/>
    <s v=""/>
    <s v=""/>
    <s v=""/>
    <s v=""/>
    <s v=""/>
    <s v=""/>
    <s v=""/>
    <s v=""/>
    <s v=""/>
    <s v=""/>
    <s v=""/>
    <s v=""/>
    <s v=""/>
    <s v=""/>
    <s v=""/>
    <s v=""/>
    <s v=""/>
    <s v=""/>
    <s v=""/>
    <s v=""/>
    <s v=""/>
    <s v=""/>
    <s v=""/>
    <s v=""/>
    <s v=""/>
    <s v=""/>
    <s v=""/>
    <s v=""/>
    <s v=""/>
    <s v=""/>
    <s v=""/>
    <s v=""/>
    <s v=""/>
    <s v=""/>
    <s v=""/>
  </r>
  <r>
    <s v="Buildings of Excellence Round 1"/>
    <x v="23"/>
    <x v="4"/>
    <s v="Late Design"/>
    <n v="10883992.34"/>
    <n v="828.68831582153189"/>
    <n v="2032912.3399999999"/>
    <n v="154.78242271965888"/>
    <n v="0.18678002303702465"/>
    <n v="192946.5"/>
    <n v="1.7727548308803753E-2"/>
    <n v="1839965.8399999999"/>
    <n v="83.268537786434891"/>
    <n v="0.10048233599611628"/>
    <n v="64380"/>
    <s v="Onsite Solar electric (PV) Owned"/>
    <n v="13134"/>
    <n v="10450"/>
    <n v="1"/>
    <n v="5"/>
    <n v="4"/>
    <s v="PHI"/>
    <s v="NYC"/>
    <s v="All Electric"/>
    <s v="Market Rate"/>
    <s v="Yes"/>
    <s v="Gut Rehab"/>
    <s v="VRF - ASHP"/>
    <s v="ERV"/>
    <s v="ASHP"/>
    <s v="Yes"/>
    <s v="Mid Rise"/>
    <s v="Yes"/>
    <s v="No"/>
    <s v="No"/>
    <s v="No"/>
    <n v="4"/>
    <s v="No"/>
    <s v="GR"/>
    <s v="2016 ECCC of NYS"/>
    <s v="No"/>
    <s v="Yes"/>
    <n v="316383"/>
    <n v="252002"/>
    <n v="0.20349070588495588"/>
    <n v="16949"/>
    <n v="1.6219138755980862"/>
    <n v="19.186995583980508"/>
    <n v="245125"/>
    <n v="2859020.71"/>
    <n v="153472"/>
    <n v="69500"/>
    <n v="39415"/>
    <n v="41750"/>
    <s v=""/>
    <s v=""/>
    <n v="423479.42"/>
    <n v="7052230.21"/>
    <n v="10883992.34"/>
    <n v="-6400"/>
    <s v=""/>
    <s v=""/>
    <s v=""/>
    <s v=""/>
    <s v=""/>
    <s v=""/>
    <n v="-6400"/>
    <n v="-167458.5"/>
    <s v=""/>
    <n v="-19088"/>
    <s v=""/>
    <s v=""/>
    <s v=""/>
    <n v="-19088"/>
    <n v="9839806.7699999996"/>
    <n v="360832"/>
    <n v="1711465"/>
    <n v="230200"/>
    <n v="69500"/>
    <s v=""/>
    <n v="41750"/>
    <s v=""/>
    <s v=""/>
    <s v=""/>
    <n v="6437333"/>
    <n v="8851080"/>
    <s v=""/>
    <s v=""/>
    <s v=""/>
    <n v="8851080"/>
  </r>
  <r>
    <s v="Buildings of Excellence Round 1"/>
    <x v="24"/>
    <x v="1"/>
    <s v="Under Construction"/>
    <n v="10547313"/>
    <n v="166.57158875552747"/>
    <n v="1683313"/>
    <n v="26.584222994314594"/>
    <n v="0.15959638250993405"/>
    <n v="1378440"/>
    <n v="0.1306911058769186"/>
    <n v="304873"/>
    <n v="5.5386501676557121"/>
    <n v="3.3250869545253817E-2"/>
    <n v="1010475"/>
    <s v="Onsite Solar electric (PV) Owned"/>
    <n v="63320"/>
    <n v="54860"/>
    <n v="1"/>
    <n v="4"/>
    <n v="46"/>
    <s v="ERI"/>
    <s v="Mid Hudson"/>
    <s v="All Electric"/>
    <s v="Market Rate"/>
    <s v="Yes"/>
    <s v="ICF and Concrete Deck"/>
    <s v="GSHP"/>
    <s v="ERV"/>
    <s v="GSHP"/>
    <s v="Yes"/>
    <s v="Mid Rise"/>
    <s v="Yes"/>
    <s v="Yes"/>
    <s v="No"/>
    <s v="No"/>
    <n v="5"/>
    <s v="No"/>
    <s v="NC"/>
    <s v="2016 ECCC of NYS"/>
    <s v="No"/>
    <s v="Yes"/>
    <n v="1010475"/>
    <n v="0"/>
    <n v="1"/>
    <n v="-258.68"/>
    <n v="-4.7152752460809331E-3"/>
    <n v="0"/>
    <n v="1100000"/>
    <n v="1101500"/>
    <n v="50000"/>
    <n v="110630"/>
    <n v="475000"/>
    <n v="10000"/>
    <n v="215000"/>
    <n v="45000"/>
    <s v=""/>
    <n v="7440183"/>
    <n v="10547313"/>
    <n v="-110700"/>
    <n v="-15000"/>
    <s v=""/>
    <s v=""/>
    <n v="-109340"/>
    <n v="-80000"/>
    <s v=""/>
    <n v="-315040"/>
    <n v="-750000"/>
    <s v=""/>
    <n v="-104000"/>
    <n v="-85000"/>
    <n v="-32400"/>
    <n v="-92000"/>
    <n v="-313400"/>
    <n v="9168873"/>
    <n v="876000"/>
    <n v="752000"/>
    <n v="41000"/>
    <n v="74000"/>
    <n v="75000"/>
    <n v="32000"/>
    <s v=""/>
    <n v="14000"/>
    <s v=""/>
    <n v="7000000"/>
    <n v="8864000"/>
    <s v=""/>
    <s v=""/>
    <s v=""/>
    <n v="8864000"/>
  </r>
  <r>
    <s v="Buildings of Excellence Round 1"/>
    <x v="25"/>
    <x v="1"/>
    <s v="Under Construction"/>
    <n v="71166118.189999998"/>
    <n v="374.16269204683465"/>
    <n v="3577646"/>
    <n v="18.809816983086314"/>
    <n v="5.0271759806378165E-2"/>
    <n v="1150000"/>
    <n v="1.6159375124686706E-2"/>
    <n v="2427646"/>
    <n v="12.973220826550509"/>
    <n v="3.4672673418029147E-2"/>
    <n v="387679"/>
    <s v="Onsite Solar electric (PV) Owned"/>
    <n v="190201"/>
    <n v="180141"/>
    <n v="1"/>
    <n v="10"/>
    <n v="184"/>
    <s v="ASHRAE"/>
    <s v="NYC"/>
    <s v="Fossil Fuels"/>
    <s v="LMI"/>
    <s v="Yes"/>
    <s v="Block and Plank"/>
    <s v="VRF - ASHP"/>
    <s v="ERV"/>
    <s v="Fossil Fuel"/>
    <s v="Yes"/>
    <s v="Mid Rise"/>
    <s v="Yes"/>
    <s v="No"/>
    <s v="No"/>
    <s v="No"/>
    <n v="4"/>
    <s v="No"/>
    <s v="NC"/>
    <s v="2016 ECCC of NYS"/>
    <s v="Yes"/>
    <s v="Yes"/>
    <n v="7353000"/>
    <n v="6965321"/>
    <n v="5.2723922208622334E-2"/>
    <n v="486270.2"/>
    <n v="2.6993865916143465"/>
    <n v="36.62084321323232"/>
    <n v="3860000"/>
    <n v="13820490"/>
    <n v="1521600"/>
    <n v="291269"/>
    <n v="263398"/>
    <n v="468693"/>
    <s v=""/>
    <n v="142906"/>
    <s v=""/>
    <n v="50797762.190000005"/>
    <n v="71166118.189999998"/>
    <n v="-300000"/>
    <s v=""/>
    <s v=""/>
    <s v=""/>
    <s v=""/>
    <s v=""/>
    <s v=""/>
    <n v="-300000"/>
    <n v="-850000"/>
    <s v=""/>
    <s v=""/>
    <s v=""/>
    <s v=""/>
    <s v=""/>
    <s v=""/>
    <n v="70016118.189999998"/>
    <n v="3222300"/>
    <n v="10900000"/>
    <n v="1521600"/>
    <n v="291269"/>
    <n v="263398"/>
    <n v="468693"/>
    <s v=""/>
    <n v="123450"/>
    <s v=""/>
    <n v="50797762.190000005"/>
    <n v="67588472.189999998"/>
    <s v=""/>
    <s v=""/>
    <s v=""/>
    <n v="67588472.189999998"/>
  </r>
  <r>
    <s v="Buildings of Excellence Round 1"/>
    <x v="26"/>
    <x v="4"/>
    <s v="Early Design"/>
    <n v="14071263.84"/>
    <n v="323.74525676421865"/>
    <n v="716975"/>
    <n v="25.72130958954537"/>
    <n v="7.94492245125865E-2"/>
    <n v="1306414"/>
    <n v="9.2842690951916662E-2"/>
    <n v="-589439"/>
    <n v="-4.7798448936203819"/>
    <n v="-1.4764215980781174E-2"/>
    <n v="2252742.5099999998"/>
    <s v="Remote Solar electric (PV) Owned"/>
    <n v="43464"/>
    <n v="43464"/>
    <n v="1"/>
    <n v="2"/>
    <n v="40"/>
    <s v="Phius"/>
    <s v="Southern Tier"/>
    <s v="All Electric"/>
    <s v="LMI"/>
    <s v="Yes"/>
    <s v="Panelized"/>
    <s v="GSHP"/>
    <s v="ERV"/>
    <s v="GSHP"/>
    <s v="Yes"/>
    <s v="Low Rise"/>
    <s v="Yes"/>
    <s v="No"/>
    <s v="No"/>
    <s v="No"/>
    <n v="5"/>
    <s v="No"/>
    <s v="NC"/>
    <s v="2016 ECCC of NYS"/>
    <s v="No"/>
    <s v="No"/>
    <n v="2252743"/>
    <n v="0"/>
    <n v="1"/>
    <n v="0"/>
    <n v="0"/>
    <n v="0"/>
    <n v="1174200"/>
    <n v="2770500"/>
    <n v="320280"/>
    <n v="30642.95"/>
    <s v=""/>
    <n v="888684"/>
    <s v=""/>
    <s v=""/>
    <n v="1189475"/>
    <n v="7697481.8899999997"/>
    <n v="14071263.84"/>
    <n v="-184000"/>
    <s v=""/>
    <s v=""/>
    <s v=""/>
    <n v="-90000"/>
    <s v=""/>
    <n v="-239976"/>
    <n v="-513976"/>
    <n v="-792438"/>
    <s v=""/>
    <s v=""/>
    <s v=""/>
    <s v=""/>
    <s v=""/>
    <s v=""/>
    <n v="12764849.84"/>
    <n v="824200"/>
    <n v="2747000"/>
    <n v="278280"/>
    <n v="22642.95"/>
    <s v=""/>
    <n v="836684"/>
    <s v=""/>
    <s v=""/>
    <n v="950000"/>
    <n v="7695481.8899999997"/>
    <n v="13354288.84"/>
    <n v="-400976"/>
    <s v=""/>
    <s v=""/>
    <n v="12953312.84"/>
  </r>
  <r>
    <s v="Buildings of Excellence Round 1"/>
    <x v="27"/>
    <x v="0"/>
    <s v="Early Design"/>
    <n v="19647603"/>
    <n v="242.56299999999999"/>
    <n v="1700000"/>
    <n v="20.987654320987655"/>
    <n v="8.6524549585005356E-2"/>
    <n v="1368000"/>
    <n v="6.9626814018992553E-2"/>
    <n v="332000"/>
    <n v="4.0987654320987659"/>
    <n v="1.689773556601281E-2"/>
    <n v="2751279"/>
    <s v="Onsite Solar electric (PV) Owned_x000a_and_x000a_Remote Solar electric (PV) Leased"/>
    <n v="81000"/>
    <n v="81000"/>
    <n v="1"/>
    <n v="4"/>
    <n v="80"/>
    <s v="Phius"/>
    <s v="Finger Lakes"/>
    <s v="All Electric"/>
    <s v="LMI"/>
    <s v="Yes"/>
    <s v="Wood Frame"/>
    <s v="Minisplit - ASHP"/>
    <s v="ERV"/>
    <s v="ASHP w/ CO2 "/>
    <s v="Yes"/>
    <s v="Low Rise"/>
    <s v="Yes"/>
    <s v="Yes"/>
    <s v="No"/>
    <s v="No"/>
    <n v="5"/>
    <s v="No"/>
    <s v="NC"/>
    <s v="2016 ECCC of NYS"/>
    <s v="No"/>
    <s v="No"/>
    <n v="3527424"/>
    <n v="776145"/>
    <n v="0.77996832816242112"/>
    <n v="40000"/>
    <n v="0.49382716049382713"/>
    <n v="9.5820370370370362"/>
    <s v=""/>
    <s v=""/>
    <s v=""/>
    <s v=""/>
    <s v=""/>
    <s v=""/>
    <s v=""/>
    <s v=""/>
    <s v=""/>
    <s v=""/>
    <s v=""/>
    <s v=""/>
    <s v=""/>
    <s v=""/>
    <s v=""/>
    <s v=""/>
    <s v=""/>
    <s v=""/>
    <s v=""/>
    <s v=""/>
    <s v=""/>
    <s v=""/>
    <s v=""/>
    <s v=""/>
    <s v=""/>
    <s v=""/>
    <s v=""/>
    <s v=""/>
    <s v=""/>
    <s v=""/>
    <s v=""/>
    <s v=""/>
    <s v=""/>
    <s v=""/>
    <s v=""/>
    <s v=""/>
    <s v=""/>
    <s v=""/>
    <s v=""/>
    <s v=""/>
    <s v=""/>
    <s v=""/>
  </r>
  <r>
    <s v="Buildings of Excellence Round 2"/>
    <x v="28"/>
    <x v="0"/>
    <s v="Early Design"/>
    <n v="19000000"/>
    <n v="468.90424481737415"/>
    <n v="950000"/>
    <n v="23.445212240868706"/>
    <n v="0.05"/>
    <n v="1010200"/>
    <n v="5.316842105263158E-2"/>
    <n v="-60200"/>
    <n v="-1.4856860809476802"/>
    <n v="-3.168421052631579E-3"/>
    <n v="445535.7"/>
    <s v="Solar PV onsite owned "/>
    <n v="40520"/>
    <n v="40520"/>
    <n v="1"/>
    <n v="4"/>
    <n v="58"/>
    <s v="Phius"/>
    <s v="NYC"/>
    <s v="All Electric"/>
    <s v="LMI"/>
    <s v="Yes"/>
    <s v="Modular"/>
    <s v="VRF - ASHP"/>
    <s v="ERV"/>
    <s v="ASHP"/>
    <s v="Yes"/>
    <s v="Mid Rise"/>
    <s v="Yes"/>
    <s v="No"/>
    <s v="No"/>
    <s v="No"/>
    <n v="4"/>
    <s v="No"/>
    <s v="NC"/>
    <s v="2016 ECC NYS"/>
    <s v="Yes"/>
    <s v="No"/>
    <n v="1431096"/>
    <n v="294980"/>
    <n v="0.79387825834185832"/>
    <n v="0"/>
    <n v="0"/>
    <n v="7.2798617966436332"/>
    <s v=""/>
    <s v=""/>
    <s v=""/>
    <s v=""/>
    <s v=""/>
    <s v=""/>
    <s v=""/>
    <s v=""/>
    <s v=""/>
    <s v=""/>
    <s v=""/>
    <s v=""/>
    <s v=""/>
    <s v=""/>
    <s v=""/>
    <s v=""/>
    <s v=""/>
    <s v=""/>
    <s v=""/>
    <s v=""/>
    <s v=""/>
    <s v=""/>
    <s v=""/>
    <s v=""/>
    <s v=""/>
    <s v=""/>
    <s v=""/>
    <s v=""/>
    <s v=""/>
    <s v=""/>
    <s v=""/>
    <s v=""/>
    <s v=""/>
    <s v=""/>
    <s v=""/>
    <s v=""/>
    <s v=""/>
    <s v=""/>
    <s v=""/>
    <s v=""/>
    <s v=""/>
    <s v=""/>
  </r>
  <r>
    <s v="Buildings of Excellence Round 2"/>
    <x v="29"/>
    <x v="0"/>
    <s v="Early Design"/>
    <n v="180239028"/>
    <n v="502.27543368306652"/>
    <n v="9011951.4000000004"/>
    <n v="25.113771684153328"/>
    <n v="0.05"/>
    <n v="1300000"/>
    <n v="7.2126443114196113E-3"/>
    <n v="7711951.4000000004"/>
    <n v="21.49103763463334"/>
    <n v="4.2787355688580393E-2"/>
    <n v="329394"/>
    <s v="Solar PV onsite owned "/>
    <n v="358845"/>
    <n v="342659"/>
    <n v="1"/>
    <n v="18"/>
    <n v="311"/>
    <s v="PHI"/>
    <s v="NYC"/>
    <s v="All Electric"/>
    <s v="LMI"/>
    <s v="Yes"/>
    <s v="Cast in Place Concrete"/>
    <s v="VRF - ASHP"/>
    <s v="ERV"/>
    <s v="ASHP"/>
    <s v="Yes"/>
    <s v="Mid Rise"/>
    <s v="Yes"/>
    <s v="No"/>
    <s v="No"/>
    <s v="No"/>
    <n v="4"/>
    <s v="No"/>
    <s v="NC"/>
    <s v="2019 ECC NYS"/>
    <s v="Yes"/>
    <s v="No"/>
    <n v="3800750"/>
    <n v="3471356"/>
    <n v="8.6665526540814317E-2"/>
    <n v="178044.34"/>
    <n v="0.49615945603254885"/>
    <n v="9.6736919840042361"/>
    <s v=""/>
    <s v=""/>
    <s v=""/>
    <s v=""/>
    <s v=""/>
    <s v=""/>
    <s v=""/>
    <s v=""/>
    <s v=""/>
    <s v=""/>
    <s v=""/>
    <s v=""/>
    <s v=""/>
    <s v=""/>
    <s v=""/>
    <s v=""/>
    <s v=""/>
    <s v=""/>
    <s v=""/>
    <s v=""/>
    <s v=""/>
    <s v=""/>
    <s v=""/>
    <s v=""/>
    <s v=""/>
    <s v=""/>
    <s v=""/>
    <s v=""/>
    <s v=""/>
    <s v=""/>
    <s v=""/>
    <s v=""/>
    <s v=""/>
    <s v=""/>
    <s v=""/>
    <s v=""/>
    <s v=""/>
    <s v=""/>
    <s v=""/>
    <s v=""/>
    <s v=""/>
    <s v=""/>
  </r>
  <r>
    <s v="Buildings of Excellence Round 2"/>
    <x v="30"/>
    <x v="1"/>
    <s v="Early Design"/>
    <n v="24735436"/>
    <n v="371.82166102968807"/>
    <n v="7420630.8000000007"/>
    <n v="111.54649830890644"/>
    <n v="0.30000000000000004"/>
    <n v="2449064"/>
    <n v="9.9010342894299497E-2"/>
    <n v="4971566.8000000007"/>
    <n v="82.944690391780739"/>
    <n v="0.22307654202308033"/>
    <n v="1685869"/>
    <s v="Solar PV Onsite "/>
    <n v="66525"/>
    <n v="66525"/>
    <n v="1"/>
    <n v="7"/>
    <n v="74"/>
    <s v="ASHRAE"/>
    <s v="Mohawk Valley"/>
    <s v="All Electric"/>
    <s v="LMI"/>
    <s v="Yes"/>
    <s v="Gut Rehab"/>
    <s v="GSHP"/>
    <s v="ERV"/>
    <s v="ASHP w/ CO2 "/>
    <s v="Yes"/>
    <s v="Mid Rise"/>
    <s v="Yes"/>
    <s v="Yes "/>
    <s v="No"/>
    <s v="No"/>
    <n v="5"/>
    <s v="No"/>
    <s v="GR"/>
    <s v="2019 ECC NYS"/>
    <s v="No"/>
    <s v="No"/>
    <n v="1723974"/>
    <n v="38105"/>
    <n v="0.97789699844661226"/>
    <n v="7382.2"/>
    <n v="0.11096880871852687"/>
    <n v="0.57279218338970317"/>
    <n v="3357410"/>
    <n v="1096000"/>
    <n v="1467133"/>
    <n v="169375"/>
    <n v="505440"/>
    <n v="2335100"/>
    <s v=""/>
    <s v=""/>
    <s v=""/>
    <n v="15804978"/>
    <n v="24735436"/>
    <n v="-259000"/>
    <s v=""/>
    <s v=""/>
    <s v=""/>
    <n v="-200000"/>
    <s v=""/>
    <s v=""/>
    <n v="-459000"/>
    <n v="-1000000"/>
    <s v=""/>
    <n v="-990064"/>
    <s v=""/>
    <s v=""/>
    <s v=""/>
    <n v="-990064"/>
    <n v="22286372"/>
    <n v="2350187"/>
    <n v="767200"/>
    <n v="1026993.1"/>
    <n v="118562.49999999999"/>
    <n v="353808"/>
    <n v="1634570"/>
    <s v=""/>
    <s v=""/>
    <s v=""/>
    <n v="11063484.6"/>
    <n v="17314805.199999999"/>
    <s v=""/>
    <s v=""/>
    <s v=""/>
    <n v="17314805.199999999"/>
  </r>
  <r>
    <s v="Buildings of Excellence Round 2"/>
    <x v="31"/>
    <x v="0"/>
    <s v="Early Design"/>
    <n v="18320480"/>
    <n v="325.87701666696313"/>
    <n v="0"/>
    <n v="0"/>
    <n v="0"/>
    <n v="1342400"/>
    <n v="7.3273189348750684E-2"/>
    <n v="-1342400"/>
    <n v="-23.878048346644373"/>
    <n v="-7.3273189348750684E-2"/>
    <n v="674919"/>
    <s v="Solar PV Onsite Power Purchase "/>
    <n v="56219"/>
    <n v="56219"/>
    <n v="3"/>
    <n v="3"/>
    <n v="62"/>
    <s v="Phius"/>
    <s v="Mohawk Valley"/>
    <s v="All Electric"/>
    <s v="LMI"/>
    <s v="Yes"/>
    <s v="Panelized"/>
    <s v="VRF - ASHP"/>
    <s v="ERV"/>
    <s v="ASHP w/ CO2 "/>
    <s v="Yes"/>
    <s v="Low Rise"/>
    <s v="Yes"/>
    <s v="No"/>
    <s v="No"/>
    <s v="No"/>
    <n v="5"/>
    <s v="No"/>
    <s v="NC"/>
    <s v="2019 ECC NYS"/>
    <s v="Yes"/>
    <s v="No"/>
    <n v="674919"/>
    <n v="0"/>
    <n v="1"/>
    <n v="47473"/>
    <n v="0.84442981910030412"/>
    <n v="0"/>
    <s v=""/>
    <s v=""/>
    <s v=""/>
    <s v=""/>
    <s v=""/>
    <s v=""/>
    <s v=""/>
    <s v=""/>
    <s v=""/>
    <s v=""/>
    <s v=""/>
    <s v=""/>
    <s v=""/>
    <s v=""/>
    <s v=""/>
    <s v=""/>
    <s v=""/>
    <s v=""/>
    <s v=""/>
    <s v=""/>
    <s v=""/>
    <s v=""/>
    <s v=""/>
    <s v=""/>
    <s v=""/>
    <s v=""/>
    <s v=""/>
    <s v=""/>
    <s v=""/>
    <s v=""/>
    <s v=""/>
    <s v=""/>
    <s v=""/>
    <s v=""/>
    <s v=""/>
    <s v=""/>
    <s v=""/>
    <s v=""/>
    <s v=""/>
    <s v=""/>
    <s v=""/>
    <s v=""/>
  </r>
  <r>
    <s v="Buildings of Excellence Round 2"/>
    <x v="32"/>
    <x v="0"/>
    <s v="Early Design"/>
    <n v="24455000"/>
    <n v="154.51346108889183"/>
    <n v="3668250"/>
    <n v="23.177019163333775"/>
    <n v="0.15"/>
    <n v="1299988"/>
    <n v="5.3158372520956856E-2"/>
    <n v="2368262"/>
    <n v="14.96333503926809"/>
    <n v="9.6841627479043138E-2"/>
    <n v="3228959"/>
    <s v="Solar PV onsite owned "/>
    <n v="158271"/>
    <n v="97271"/>
    <n v="1"/>
    <n v="5"/>
    <n v="96"/>
    <s v="Phius"/>
    <s v="Capital Region"/>
    <s v="All Electric"/>
    <s v="Market Rate"/>
    <s v="Yes"/>
    <s v="Wood Frame Over Podium"/>
    <s v="GSHP"/>
    <s v="ERV"/>
    <s v="GSHP"/>
    <s v="Yes"/>
    <s v="Mid Rise"/>
    <s v="Yes"/>
    <s v="Yes"/>
    <s v="No"/>
    <s v="No"/>
    <n v="5"/>
    <s v="No"/>
    <s v="NC"/>
    <s v="2019 ECC NYS"/>
    <s v="No"/>
    <s v="Yes"/>
    <n v="3035189"/>
    <n v="0"/>
    <n v="1"/>
    <n v="0"/>
    <n v="0"/>
    <n v="0"/>
    <s v=""/>
    <s v=""/>
    <s v=""/>
    <s v=""/>
    <s v=""/>
    <s v=""/>
    <s v=""/>
    <s v=""/>
    <s v=""/>
    <s v=""/>
    <s v=""/>
    <s v=""/>
    <s v=""/>
    <s v=""/>
    <s v=""/>
    <s v=""/>
    <s v=""/>
    <s v=""/>
    <s v=""/>
    <s v=""/>
    <s v=""/>
    <s v=""/>
    <s v=""/>
    <s v=""/>
    <s v=""/>
    <s v=""/>
    <s v=""/>
    <s v=""/>
    <s v=""/>
    <s v=""/>
    <s v=""/>
    <s v=""/>
    <s v=""/>
    <s v=""/>
    <s v=""/>
    <s v=""/>
    <s v=""/>
    <s v=""/>
    <s v=""/>
    <s v=""/>
    <s v=""/>
    <s v=""/>
  </r>
  <r>
    <s v="Buildings of Excellence Round 2"/>
    <x v="33"/>
    <x v="4"/>
    <s v="Early Design"/>
    <n v="34264241"/>
    <n v="660.03438300964467"/>
    <n v="2644526.53938324"/>
    <n v="34.938915832781611"/>
    <n v="5.2934993588464423E-2"/>
    <n v="1279680"/>
    <n v="3.7347390826488761E-2"/>
    <n v="1364846.53938324"/>
    <n v="18.506094667702861"/>
    <n v="2.8038076718546408E-2"/>
    <n v="186892"/>
    <s v="Solar PV onsite owned "/>
    <n v="75690"/>
    <n v="61840"/>
    <n v="1"/>
    <n v="7"/>
    <n v="72"/>
    <s v="PHI"/>
    <s v="NYC"/>
    <s v="All Electric"/>
    <s v="LMI"/>
    <s v="Yes"/>
    <s v="Block and Plank"/>
    <s v="ASHP"/>
    <s v="ERV"/>
    <s v="ASHP"/>
    <s v="Yes"/>
    <s v="Mid Rise"/>
    <s v="Yes"/>
    <s v="Yes"/>
    <s v="No"/>
    <s v="No"/>
    <n v="4"/>
    <s v="No"/>
    <s v="NC"/>
    <s v="2019 ECC NYS"/>
    <s v="Yes"/>
    <s v="No"/>
    <n v="896624"/>
    <n v="709732"/>
    <n v="0.20843965809525508"/>
    <n v="41011.769999999997"/>
    <n v="0.63026186780593496"/>
    <n v="10.907040002458853"/>
    <n v="2922400"/>
    <n v="2579052"/>
    <n v="300000"/>
    <n v="212800"/>
    <n v="273845"/>
    <n v="280000"/>
    <s v=""/>
    <s v=""/>
    <n v="260966"/>
    <n v="43128939.450000003"/>
    <n v="49958002.450000003"/>
    <n v="-279680"/>
    <s v=""/>
    <s v=""/>
    <s v=""/>
    <s v=""/>
    <s v=""/>
    <s v=""/>
    <n v="-279680"/>
    <n v="-1000000"/>
    <s v=""/>
    <s v=""/>
    <s v=""/>
    <s v=""/>
    <s v=""/>
    <s v=""/>
    <n v="48678322.450000003"/>
    <n v="2522880"/>
    <n v="1533240"/>
    <n v="45000"/>
    <n v="180000"/>
    <s v=""/>
    <n v="135000"/>
    <s v=""/>
    <n v="14760"/>
    <n v="220500"/>
    <n v="42662095.910616763"/>
    <n v="47313475.910616763"/>
    <s v=""/>
    <s v=""/>
    <s v=""/>
    <n v="47313475.910616763"/>
  </r>
  <r>
    <s v="Buildings of Excellence Round 2"/>
    <x v="34"/>
    <x v="2"/>
    <s v="Under Construction"/>
    <n v="13055750.949999999"/>
    <n v="141.16767170537605"/>
    <n v="1470000"/>
    <n v="17.556593032308282"/>
    <n v="0.12436695186805775"/>
    <n v="1753300"/>
    <n v="0.13429330926383826"/>
    <n v="-129596.05000000075"/>
    <n v="-1.6186553449023027"/>
    <n v="-1.1466189994834772E-2"/>
    <n v="1764384257"/>
    <s v="Solar PV onsite owned "/>
    <n v="92484"/>
    <n v="92484"/>
    <n v="3"/>
    <n v="3"/>
    <n v="72"/>
    <s v="ERI"/>
    <s v="Capital Region"/>
    <s v="All Electric"/>
    <s v="Market Rate"/>
    <s v="Yes"/>
    <s v="Wood Frame"/>
    <s v="Minisplit - ASHP"/>
    <s v="ERV"/>
    <s v="Solar Thermal"/>
    <s v="Yes"/>
    <s v="Low Rise"/>
    <s v="Yes"/>
    <s v="Yes"/>
    <s v="No"/>
    <s v="ASHP"/>
    <n v="5"/>
    <s v="No"/>
    <s v="NC"/>
    <s v="2019 ECC NYS"/>
    <s v="No"/>
    <s v="No"/>
    <n v="1457402"/>
    <n v="339276"/>
    <n v="0.76720493041727678"/>
    <n v="0"/>
    <n v="0"/>
    <n v="3.6684831970935514"/>
    <n v="575523"/>
    <n v="1158315"/>
    <n v="60000"/>
    <n v="293556"/>
    <n v="678000"/>
    <n v="51000"/>
    <n v="45000"/>
    <n v="22372"/>
    <n v="131321"/>
    <n v="10040663.949999999"/>
    <n v="13055750.949999999"/>
    <n v="-172000"/>
    <n v="-209250"/>
    <s v=""/>
    <n v="-78000"/>
    <s v=""/>
    <s v=""/>
    <n v="-128250"/>
    <n v="-587500"/>
    <n v="-750000"/>
    <s v=""/>
    <n v="-55800"/>
    <s v=""/>
    <s v=""/>
    <n v="-360000"/>
    <n v="-415800"/>
    <n v="11302450.949999999"/>
    <n v="575523"/>
    <n v="954315"/>
    <n v="57600"/>
    <n v="275556"/>
    <s v=""/>
    <n v="45000"/>
    <s v=""/>
    <s v=""/>
    <n v="294662"/>
    <n v="9229391"/>
    <n v="11432047"/>
    <s v=""/>
    <s v=""/>
    <s v=""/>
    <n v="11432047"/>
  </r>
  <r>
    <s v="Buildings of Excellence Round 2"/>
    <x v="35"/>
    <x v="0"/>
    <s v="Early Design"/>
    <n v="28948157"/>
    <n v="373"/>
    <n v="0"/>
    <n v="0"/>
    <n v="0"/>
    <n v="1240800"/>
    <n v="4.2862832338514678E-2"/>
    <n v="-1240800"/>
    <n v="-15.987836462265975"/>
    <n v="-4.2862832338514678E-2"/>
    <n v="816099"/>
    <s v="Solar PV onsite  "/>
    <n v="77609"/>
    <n v="68769"/>
    <n v="1"/>
    <n v="7"/>
    <n v="69"/>
    <s v="Phius"/>
    <s v="Capital Region"/>
    <s v="All Electric"/>
    <s v="LMI"/>
    <s v="Yes"/>
    <s v="Modular"/>
    <s v="GSHP"/>
    <s v="ERV"/>
    <s v="Solar Thermal"/>
    <s v="Yes"/>
    <s v="Mid Rise"/>
    <s v="Yes"/>
    <s v="Yes"/>
    <s v="No"/>
    <s v="GSHP"/>
    <n v="5"/>
    <s v="No"/>
    <s v="NC"/>
    <s v="2019 ECC NYS"/>
    <s v="Yes"/>
    <s v="Yes"/>
    <n v="2636700"/>
    <n v="0"/>
    <n v="1"/>
    <n v="0"/>
    <n v="0"/>
    <n v="0"/>
    <s v=""/>
    <s v=""/>
    <s v=""/>
    <s v=""/>
    <s v=""/>
    <s v=""/>
    <s v=""/>
    <s v=""/>
    <s v=""/>
    <s v=""/>
    <s v=""/>
    <s v=""/>
    <s v=""/>
    <s v=""/>
    <s v=""/>
    <s v=""/>
    <s v=""/>
    <s v=""/>
    <s v=""/>
    <s v=""/>
    <s v=""/>
    <s v=""/>
    <s v=""/>
    <s v=""/>
    <s v=""/>
    <s v=""/>
    <s v=""/>
    <s v=""/>
    <s v=""/>
    <s v=""/>
    <s v=""/>
    <s v=""/>
    <s v=""/>
    <s v=""/>
    <s v=""/>
    <s v=""/>
    <s v=""/>
    <s v=""/>
    <s v=""/>
    <s v=""/>
    <s v=""/>
    <s v=""/>
  </r>
  <r>
    <s v="Buildings of Excellence Round 2"/>
    <x v="36"/>
    <x v="1"/>
    <s v="Early Design"/>
    <n v="52629322.8332"/>
    <n v="435.6768088576892"/>
    <n v="3800000"/>
    <n v="31.156827001879165"/>
    <n v="7.151362287005808E-2"/>
    <n v="1555000"/>
    <n v="2.9546266535260528E-2"/>
    <n v="2208713.5450000018"/>
    <n v="18.840881593457716"/>
    <n v="4.3245087207779184E-2"/>
    <n v="426500"/>
    <s v="Solar PV onsite owned "/>
    <n v="120799"/>
    <n v="101142"/>
    <n v="1"/>
    <n v="6"/>
    <n v="113"/>
    <s v="ASHRAE"/>
    <s v="Mid Hudson"/>
    <s v="All Electric"/>
    <s v="LMI"/>
    <s v="Yes"/>
    <s v="Wood Frame Over Podium"/>
    <s v="VRF - ASHP"/>
    <s v="ERV"/>
    <s v="ASHP"/>
    <s v="Yes"/>
    <s v="Mid Rise"/>
    <s v="Yes"/>
    <s v="Yes"/>
    <s v="No"/>
    <s v="No"/>
    <n v="5"/>
    <s v="No"/>
    <s v="NC"/>
    <s v="2019 ECC NYS"/>
    <s v="Yes"/>
    <s v="No"/>
    <n v="3064191"/>
    <n v="2637691"/>
    <n v="0.13918845137264615"/>
    <n v="166141"/>
    <n v="1.3753507893277261"/>
    <n v="21.835371153734716"/>
    <n v="2900092.81"/>
    <n v="2407694.9310000003"/>
    <n v="1545000"/>
    <n v="374147"/>
    <n v="411400"/>
    <n v="281632.424"/>
    <s v=""/>
    <n v="37000"/>
    <n v="1742800"/>
    <n v="42929555.668200001"/>
    <n v="52629322.8332"/>
    <n v="-434000"/>
    <n v="-121000"/>
    <s v=""/>
    <s v=""/>
    <s v=""/>
    <s v=""/>
    <s v=""/>
    <n v="-555000"/>
    <n v="-1000000"/>
    <s v=""/>
    <s v=""/>
    <s v=""/>
    <s v=""/>
    <s v=""/>
    <s v=""/>
    <n v="51074322.8332"/>
    <n v="924289"/>
    <n v="1677303.6199999999"/>
    <n v="1200000"/>
    <n v="251559"/>
    <s v=""/>
    <n v="217802"/>
    <s v=""/>
    <n v="4000"/>
    <n v="1661100"/>
    <n v="42929555.668200001"/>
    <n v="48865609.288199998"/>
    <s v=""/>
    <s v=""/>
    <s v=""/>
    <n v="48865609.288199998"/>
  </r>
  <r>
    <s v="Buildings of Excellence Round 2"/>
    <x v="37"/>
    <x v="1"/>
    <s v="Early Design"/>
    <n v="11329992"/>
    <n v="323.66632972127877"/>
    <n v="793099.44000000006"/>
    <n v="16.916504932880478"/>
    <n v="5.226526017534143E-2"/>
    <n v="1556917"/>
    <n v="0.13741554274707343"/>
    <n v="-444594"/>
    <n v="-4.3493082360712281"/>
    <n v="-1.3437629548357966E-2"/>
    <n v="1241968"/>
    <s v="Solar PV onsite owned "/>
    <n v="74196"/>
    <n v="74196"/>
    <n v="1"/>
    <n v="2"/>
    <n v="76"/>
    <s v="Phius"/>
    <s v="Finger Lakes"/>
    <s v="All Electric"/>
    <s v="LMI"/>
    <s v="Yes"/>
    <s v="Panelized"/>
    <s v="Minisplit - ASHP"/>
    <s v="ERV"/>
    <s v="ASHP"/>
    <s v="Yes"/>
    <s v="Low Rise"/>
    <s v="Yes"/>
    <s v="Yes"/>
    <s v="No"/>
    <s v="No"/>
    <n v="5"/>
    <s v="Yes"/>
    <s v="NC"/>
    <s v="2019 ECC NYS"/>
    <s v="No"/>
    <s v="No"/>
    <n v="1241968"/>
    <n v="0"/>
    <n v="1"/>
    <n v="19755"/>
    <n v="0.26625424551188742"/>
    <n v="0"/>
    <n v="1068480"/>
    <n v="2359448"/>
    <n v="740740"/>
    <n v="357200"/>
    <n v="679542"/>
    <n v="1711476"/>
    <s v=""/>
    <n v="580375"/>
    <s v=""/>
    <n v="16517486"/>
    <n v="24014747"/>
    <n v="-304000"/>
    <n v="-110103"/>
    <s v=""/>
    <s v=""/>
    <s v=""/>
    <s v=""/>
    <s v=""/>
    <n v="-414103"/>
    <n v="-1000000"/>
    <s v=""/>
    <n v="-142814"/>
    <s v=""/>
    <s v=""/>
    <s v=""/>
    <n v="-142814"/>
    <n v="22457830"/>
    <n v="1068480"/>
    <n v="1696262"/>
    <n v="972064"/>
    <n v="306908"/>
    <n v="596640"/>
    <n v="1232385"/>
    <n v="2493324"/>
    <n v="580375"/>
    <n v="6430634"/>
    <n v="7525352"/>
    <n v="22902424"/>
    <s v=""/>
    <s v=""/>
    <n v="-142814"/>
    <n v="22759610"/>
  </r>
  <r>
    <s v="Buildings of Excellence Round 2"/>
    <x v="38"/>
    <x v="4"/>
    <s v="Early Design"/>
    <n v="56862863.5"/>
    <n v="662.79913628310328"/>
    <n v="23858879.5"/>
    <n v="279.52815530585605"/>
    <n v="0.42173886476891898"/>
    <n v="1730595"/>
    <n v="3.0434538352082815E-2"/>
    <n v="22128284.5"/>
    <n v="267.49732723781966"/>
    <n v="0.40358732019162247"/>
    <n v="392380"/>
    <s v="Solar PV onsite owned "/>
    <n v="85792"/>
    <n v="85792"/>
    <n v="2"/>
    <n v="7"/>
    <n v="82"/>
    <s v="Phius"/>
    <s v="NYC"/>
    <s v="All Electric"/>
    <s v="LMI"/>
    <s v="Yes"/>
    <s v="Block and Plank"/>
    <s v="VRF - ASHP"/>
    <s v="ERV"/>
    <s v="ASHP"/>
    <s v="Yes"/>
    <s v="Mid Rise"/>
    <s v="Yes"/>
    <s v="No"/>
    <s v="No"/>
    <s v="No"/>
    <n v="4"/>
    <s v="No"/>
    <s v="NC"/>
    <s v="2019 ECC NYS"/>
    <s v="Yes"/>
    <s v="No"/>
    <n v="1630525"/>
    <n v="1238145"/>
    <n v="0.24064641756489474"/>
    <n v="72575.91"/>
    <n v="0.83796224454450996"/>
    <n v="14.295635607897472"/>
    <n v="2925000"/>
    <n v="7230000"/>
    <n v="1050000"/>
    <n v="151700"/>
    <n v="374500"/>
    <n v="340000"/>
    <s v=""/>
    <s v=""/>
    <n v="2283800"/>
    <n v="42507863.5"/>
    <n v="56862863.5"/>
    <n v="-328000"/>
    <s v=""/>
    <s v=""/>
    <n v="-291232"/>
    <s v=""/>
    <s v=""/>
    <s v=""/>
    <n v="-619232"/>
    <n v="-1000000"/>
    <s v=""/>
    <n v="-111363"/>
    <s v=""/>
    <s v=""/>
    <s v=""/>
    <n v="-111363"/>
    <n v="55132268.5"/>
    <n v="1663756"/>
    <n v="6948364"/>
    <n v="1153500"/>
    <n v="208000"/>
    <s v=""/>
    <n v="687000"/>
    <s v=""/>
    <s v=""/>
    <n v="442000"/>
    <n v="21901364"/>
    <n v="33003984"/>
    <n v="-122400"/>
    <s v=""/>
    <s v=""/>
    <n v="32881584"/>
  </r>
  <r>
    <s v="Buildings of Excellence Round 2"/>
    <x v="39"/>
    <x v="0"/>
    <s v="Early Design"/>
    <n v="64027236"/>
    <n v="412.51472824266165"/>
    <n v="5762451.2400000002"/>
    <n v="37.126325541839549"/>
    <n v="0.09"/>
    <n v="1315700"/>
    <n v="2.0549067587424828E-2"/>
    <n v="4446751.24"/>
    <n v="28.649532510372911"/>
    <n v="6.9450932412575175E-2"/>
    <n v="269548"/>
    <s v="Solar PV onsite owned "/>
    <n v="155212"/>
    <n v="143712"/>
    <n v="1"/>
    <n v="8"/>
    <n v="156"/>
    <s v="ASHRAE"/>
    <s v="NYC"/>
    <s v="All Electric"/>
    <s v="LMI"/>
    <s v="Yes"/>
    <s v="Steel and Plank"/>
    <s v="VRF - ASHP"/>
    <s v="ERV"/>
    <s v="ASHP w/ CO2 "/>
    <s v="Yes"/>
    <s v="Mid Rise"/>
    <s v="Yes"/>
    <s v="No"/>
    <s v="No"/>
    <s v="No"/>
    <n v="4"/>
    <s v="No"/>
    <s v="GR"/>
    <s v="2019 ECC NYS"/>
    <s v="No"/>
    <s v="No"/>
    <n v="3637170"/>
    <n v="3367622"/>
    <n v="7.4109266270204588E-2"/>
    <n v="223255.13"/>
    <n v="1.4383883333762855"/>
    <n v="21.696917764090404"/>
    <s v=""/>
    <s v=""/>
    <s v=""/>
    <s v=""/>
    <s v=""/>
    <s v=""/>
    <s v=""/>
    <s v=""/>
    <s v=""/>
    <s v=""/>
    <s v=""/>
    <s v=""/>
    <s v=""/>
    <s v=""/>
    <s v=""/>
    <s v=""/>
    <s v=""/>
    <s v=""/>
    <s v=""/>
    <s v=""/>
    <s v=""/>
    <s v=""/>
    <s v=""/>
    <s v=""/>
    <s v=""/>
    <s v=""/>
    <s v=""/>
    <s v=""/>
    <s v=""/>
    <s v=""/>
    <s v=""/>
    <s v=""/>
    <s v=""/>
    <s v=""/>
    <s v=""/>
    <s v=""/>
    <s v=""/>
    <s v=""/>
    <s v=""/>
    <s v=""/>
    <s v=""/>
    <s v=""/>
  </r>
  <r>
    <s v="Buildings of Excellence Round 2"/>
    <x v="40"/>
    <x v="0"/>
    <s v="Early Design"/>
    <n v="130000000"/>
    <n v="370.53505261597746"/>
    <n v="1102000"/>
    <n v="3.1409971383292858"/>
    <n v="8.4769230769230763E-3"/>
    <n v="1328500"/>
    <n v="1.0219230769230769E-2"/>
    <n v="-226500"/>
    <n v="-0.64558607244245303"/>
    <n v="-1.7423076923076923E-3"/>
    <n v="3096280"/>
    <s v="Solar Electric PV Remote REC"/>
    <n v="350844"/>
    <n v="265874"/>
    <n v="1"/>
    <n v="47"/>
    <n v="285"/>
    <s v="ASHRAE"/>
    <s v="NYC"/>
    <s v="All Electric"/>
    <s v="Market Rate"/>
    <s v="Yes"/>
    <s v="Structural Steel"/>
    <s v="VRF - ASHP"/>
    <s v="ERV"/>
    <s v="ASHP"/>
    <s v="Yes"/>
    <s v="Super Tall"/>
    <s v="Yes"/>
    <s v="No"/>
    <s v="No"/>
    <s v="No"/>
    <n v="4"/>
    <s v="No"/>
    <s v="NC"/>
    <s v="2016 ECC NYS"/>
    <s v="No"/>
    <s v="Yes"/>
    <n v="15481401"/>
    <n v="12385121"/>
    <n v="0.19999998708127256"/>
    <n v="907431"/>
    <n v="2.5864230256182235"/>
    <n v="44.126167185415738"/>
    <s v=""/>
    <s v=""/>
    <s v=""/>
    <s v=""/>
    <s v=""/>
    <s v=""/>
    <s v=""/>
    <s v=""/>
    <s v=""/>
    <s v=""/>
    <s v=""/>
    <s v=""/>
    <s v=""/>
    <s v=""/>
    <s v=""/>
    <s v=""/>
    <s v=""/>
    <s v=""/>
    <s v=""/>
    <s v=""/>
    <s v=""/>
    <s v=""/>
    <s v=""/>
    <s v=""/>
    <s v=""/>
    <s v=""/>
    <s v=""/>
    <s v=""/>
    <s v=""/>
    <s v=""/>
    <s v=""/>
    <s v=""/>
    <s v=""/>
    <s v=""/>
    <s v=""/>
    <s v=""/>
    <s v=""/>
    <s v=""/>
    <s v=""/>
    <s v=""/>
    <s v=""/>
    <s v=""/>
  </r>
  <r>
    <s v="Buildings of Excellence Round 2"/>
    <x v="41"/>
    <x v="1"/>
    <s v="Early Design"/>
    <n v="15277204.893877551"/>
    <n v="842.601339908309"/>
    <n v="765077"/>
    <n v="41.36986376923501"/>
    <n v="4.9097790152739178E-2"/>
    <n v="506317"/>
    <n v="3.3141991844523218E-2"/>
    <n v="258760"/>
    <n v="13.905223849216499"/>
    <n v="1.6502731707891245E-2"/>
    <n v="374446.72192916356"/>
    <s v="Solar PV onsite owned "/>
    <n v="18131"/>
    <n v="18131"/>
    <n v="1"/>
    <n v="3"/>
    <n v="15"/>
    <s v="Phius"/>
    <s v="Western NY"/>
    <s v="All Electric"/>
    <s v="LMI"/>
    <s v="Yes"/>
    <s v="Structural Steel"/>
    <s v="GSHP"/>
    <s v="ERV"/>
    <s v="GSHP"/>
    <s v="Yes"/>
    <s v="Low Rise"/>
    <s v="Yes"/>
    <s v="No"/>
    <s v="No"/>
    <s v="No"/>
    <n v="5"/>
    <s v="No"/>
    <s v="NC"/>
    <s v="2019 ECC NYS"/>
    <s v="Yes"/>
    <s v="No"/>
    <n v="374446.72192916356"/>
    <n v="0"/>
    <n v="1"/>
    <n v="1244.3104747550867"/>
    <n v="4.8229088168801809E-2"/>
    <n v="0"/>
    <n v="695077"/>
    <n v="4104825.5599999996"/>
    <n v="1134500"/>
    <n v="99865"/>
    <n v="119136.74"/>
    <n v="1135010"/>
    <s v=""/>
    <s v=""/>
    <n v="224844.69387755101"/>
    <n v="7763945.8999999994"/>
    <n v="15277204.893877551"/>
    <n v="-60000"/>
    <n v="-55819"/>
    <s v=""/>
    <s v=""/>
    <s v=""/>
    <s v=""/>
    <s v=""/>
    <n v="-115819"/>
    <n v="-362620"/>
    <s v=""/>
    <n v="-27878"/>
    <s v=""/>
    <s v=""/>
    <s v=""/>
    <n v="-27878"/>
    <n v="14770887.893877551"/>
    <n v="225000"/>
    <n v="3844825.5599999996"/>
    <n v="1119500"/>
    <n v="99865"/>
    <n v="119136.74"/>
    <n v="1135010"/>
    <s v=""/>
    <s v=""/>
    <n v="224844.69387755101"/>
    <n v="7743945.8999999994"/>
    <n v="14512127.893877551"/>
    <n v="15000"/>
    <s v=""/>
    <s v=""/>
    <n v="14527127.8938775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4F0355A-110D-49F5-BB55-9F0391C7282F}"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1:N28" firstHeaderRow="0" firstDataRow="1" firstDataCol="1"/>
  <pivotFields count="90">
    <pivotField showAll="0"/>
    <pivotField axis="axisRow" showAll="0">
      <items count="43">
        <item x="1"/>
        <item x="10"/>
        <item x="15"/>
        <item x="21"/>
        <item x="16"/>
        <item x="37"/>
        <item x="28"/>
        <item x="2"/>
        <item x="30"/>
        <item x="29"/>
        <item x="40"/>
        <item x="11"/>
        <item x="38"/>
        <item x="23"/>
        <item x="7"/>
        <item x="13"/>
        <item x="32"/>
        <item x="25"/>
        <item x="36"/>
        <item x="31"/>
        <item x="22"/>
        <item x="0"/>
        <item x="39"/>
        <item x="9"/>
        <item x="18"/>
        <item x="19"/>
        <item x="6"/>
        <item x="20"/>
        <item x="5"/>
        <item x="14"/>
        <item x="34"/>
        <item x="8"/>
        <item x="17"/>
        <item x="3"/>
        <item x="33"/>
        <item x="35"/>
        <item x="12"/>
        <item x="4"/>
        <item x="26"/>
        <item x="41"/>
        <item x="27"/>
        <item x="24"/>
        <item t="default"/>
      </items>
    </pivotField>
    <pivotField showAll="0">
      <items count="7">
        <item x="4"/>
        <item x="1"/>
        <item x="2"/>
        <item x="3"/>
        <item h="1" m="1" x="5"/>
        <item h="1" x="0"/>
        <item t="default"/>
      </items>
    </pivotField>
    <pivotField showAll="0"/>
    <pivotField showAll="0"/>
    <pivotField numFmtId="8" showAll="0"/>
    <pivotField numFmtId="164" showAll="0"/>
    <pivotField showAll="0"/>
    <pivotField showAll="0"/>
    <pivotField numFmtId="6" showAll="0"/>
    <pivotField showAll="0"/>
    <pivotField numFmtId="8" showAll="0"/>
    <pivotField showAll="0"/>
    <pivotField showAll="0"/>
    <pivotField showAll="0"/>
    <pivotField showAll="0"/>
    <pivotField numFmtId="3" showAll="0"/>
    <pivotField numFmtId="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pivotField numFmtId="3" showAll="0"/>
    <pivotField showAll="0"/>
    <pivotField numFmtId="164" showAll="0"/>
    <pivotField numFmtId="164" showAll="0"/>
    <pivotField numFmtI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7">
    <i>
      <x/>
    </i>
    <i>
      <x v="1"/>
    </i>
    <i>
      <x v="2"/>
    </i>
    <i>
      <x v="3"/>
    </i>
    <i>
      <x v="5"/>
    </i>
    <i>
      <x v="8"/>
    </i>
    <i>
      <x v="12"/>
    </i>
    <i>
      <x v="13"/>
    </i>
    <i>
      <x v="14"/>
    </i>
    <i>
      <x v="15"/>
    </i>
    <i>
      <x v="17"/>
    </i>
    <i>
      <x v="18"/>
    </i>
    <i>
      <x v="23"/>
    </i>
    <i>
      <x v="24"/>
    </i>
    <i>
      <x v="25"/>
    </i>
    <i>
      <x v="26"/>
    </i>
    <i>
      <x v="27"/>
    </i>
    <i>
      <x v="28"/>
    </i>
    <i>
      <x v="30"/>
    </i>
    <i>
      <x v="31"/>
    </i>
    <i>
      <x v="32"/>
    </i>
    <i>
      <x v="34"/>
    </i>
    <i>
      <x v="37"/>
    </i>
    <i>
      <x v="38"/>
    </i>
    <i>
      <x v="39"/>
    </i>
    <i>
      <x v="41"/>
    </i>
    <i t="grand">
      <x/>
    </i>
  </rowItems>
  <colFields count="1">
    <field x="-2"/>
  </colFields>
  <colItems count="13">
    <i>
      <x/>
    </i>
    <i i="1">
      <x v="1"/>
    </i>
    <i i="2">
      <x v="2"/>
    </i>
    <i i="3">
      <x v="3"/>
    </i>
    <i i="4">
      <x v="4"/>
    </i>
    <i i="5">
      <x v="5"/>
    </i>
    <i i="6">
      <x v="6"/>
    </i>
    <i i="7">
      <x v="7"/>
    </i>
    <i i="8">
      <x v="8"/>
    </i>
    <i i="9">
      <x v="9"/>
    </i>
    <i i="10">
      <x v="10"/>
    </i>
    <i i="11">
      <x v="11"/>
    </i>
    <i i="12">
      <x v="12"/>
    </i>
  </colItems>
  <dataFields count="13">
    <dataField name=" Envelope Cost" fld="49" baseField="1" baseItem="0"/>
    <dataField name=" HVAC Cost" fld="48" baseField="1" baseItem="0"/>
    <dataField name=" DHW Cost" fld="50" baseField="1" baseItem="0"/>
    <dataField name=" Appliance Cost" fld="51" baseField="1" baseItem="0"/>
    <dataField name=" Generation Cost" fld="52" baseField="1" baseItem="0"/>
    <dataField name=" Lighting Cost " fld="53" baseField="1" baseItem="0"/>
    <dataField name=" Smart Building Cost" fld="54" baseField="1" baseItem="0"/>
    <dataField name=" Testing Inspection Cost" fld="55" baseField="1" baseItem="0"/>
    <dataField name=" Other Performance Related Cost" fld="56" baseField="1" baseItem="0"/>
    <dataField name=" Non-Performance Related Cost" fld="57" baseField="1" baseItem="0"/>
    <dataField name=" INCENTIVE TOTAL" fld="66" baseField="1" baseItem="0"/>
    <dataField name=" TAX CREDIT TOTAL" fld="73" baseField="1" baseItem="0"/>
    <dataField name=" AWARD" fld="67" baseField="1" baseItem="0"/>
  </dataFields>
  <formats count="2">
    <format dxfId="0">
      <pivotArea collapsedLevelsAreSubtotals="1" fieldPosition="0">
        <references count="1">
          <reference field="1" count="0"/>
        </references>
      </pivotArea>
    </format>
    <format dxfId="1">
      <pivotArea grandRow="1" outline="0" collapsedLevelsAreSubtotals="1" fieldPosition="0"/>
    </format>
  </formats>
  <chartFormats count="13">
    <chartFormat chart="1" format="13" series="1">
      <pivotArea type="data" outline="0" fieldPosition="0">
        <references count="1">
          <reference field="4294967294" count="1" selected="0">
            <x v="0"/>
          </reference>
        </references>
      </pivotArea>
    </chartFormat>
    <chartFormat chart="1" format="14" series="1">
      <pivotArea type="data" outline="0" fieldPosition="0">
        <references count="1">
          <reference field="4294967294" count="1" selected="0">
            <x v="1"/>
          </reference>
        </references>
      </pivotArea>
    </chartFormat>
    <chartFormat chart="1" format="15" series="1">
      <pivotArea type="data" outline="0" fieldPosition="0">
        <references count="1">
          <reference field="4294967294" count="1" selected="0">
            <x v="2"/>
          </reference>
        </references>
      </pivotArea>
    </chartFormat>
    <chartFormat chart="1" format="16" series="1">
      <pivotArea type="data" outline="0" fieldPosition="0">
        <references count="1">
          <reference field="4294967294" count="1" selected="0">
            <x v="3"/>
          </reference>
        </references>
      </pivotArea>
    </chartFormat>
    <chartFormat chart="1" format="17" series="1">
      <pivotArea type="data" outline="0" fieldPosition="0">
        <references count="1">
          <reference field="4294967294" count="1" selected="0">
            <x v="4"/>
          </reference>
        </references>
      </pivotArea>
    </chartFormat>
    <chartFormat chart="1" format="18" series="1">
      <pivotArea type="data" outline="0" fieldPosition="0">
        <references count="1">
          <reference field="4294967294" count="1" selected="0">
            <x v="5"/>
          </reference>
        </references>
      </pivotArea>
    </chartFormat>
    <chartFormat chart="1" format="19" series="1">
      <pivotArea type="data" outline="0" fieldPosition="0">
        <references count="1">
          <reference field="4294967294" count="1" selected="0">
            <x v="6"/>
          </reference>
        </references>
      </pivotArea>
    </chartFormat>
    <chartFormat chart="1" format="20" series="1">
      <pivotArea type="data" outline="0" fieldPosition="0">
        <references count="1">
          <reference field="4294967294" count="1" selected="0">
            <x v="7"/>
          </reference>
        </references>
      </pivotArea>
    </chartFormat>
    <chartFormat chart="1" format="21" series="1">
      <pivotArea type="data" outline="0" fieldPosition="0">
        <references count="1">
          <reference field="4294967294" count="1" selected="0">
            <x v="8"/>
          </reference>
        </references>
      </pivotArea>
    </chartFormat>
    <chartFormat chart="1" format="22" series="1">
      <pivotArea type="data" outline="0" fieldPosition="0">
        <references count="1">
          <reference field="4294967294" count="1" selected="0">
            <x v="9"/>
          </reference>
        </references>
      </pivotArea>
    </chartFormat>
    <chartFormat chart="1" format="23" series="1">
      <pivotArea type="data" outline="0" fieldPosition="0">
        <references count="1">
          <reference field="4294967294" count="1" selected="0">
            <x v="10"/>
          </reference>
        </references>
      </pivotArea>
    </chartFormat>
    <chartFormat chart="1" format="24" series="1">
      <pivotArea type="data" outline="0" fieldPosition="0">
        <references count="1">
          <reference field="4294967294" count="1" selected="0">
            <x v="11"/>
          </reference>
        </references>
      </pivotArea>
    </chartFormat>
    <chartFormat chart="1" format="25" series="1">
      <pivotArea type="data" outline="0" fieldPosition="0">
        <references count="1">
          <reference field="4294967294"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Stage" xr10:uid="{49E345AE-FADF-4C96-9E56-64DD71E313D0}" sourceName="Information Stage">
  <data>
    <tabular pivotCacheId="1423251819">
      <items count="6">
        <i x="4" s="1"/>
        <i x="1" s="1"/>
        <i x="2" s="1"/>
        <i x="3" s="1"/>
        <i x="0"/>
        <i x="5"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ormation Stage" xr10:uid="{63692FE2-B14C-408F-A43D-51290B352E9B}" cache="Slicer_Information_Stage" caption="Information Stag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35F0-FE3F-4E1A-858A-892FD3B6C70A}">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5474-CBD6-4ED7-8189-E70BA1EDAA67}">
  <dimension ref="A1:CL57"/>
  <sheetViews>
    <sheetView zoomScale="55" zoomScaleNormal="55" workbookViewId="0"/>
  </sheetViews>
  <sheetFormatPr defaultRowHeight="15" x14ac:dyDescent="0.25"/>
  <cols>
    <col min="1" max="1" width="25" style="6" customWidth="1"/>
    <col min="2" max="2" width="51.140625" style="1" customWidth="1"/>
    <col min="3" max="4" width="15" style="1" customWidth="1"/>
    <col min="5" max="5" width="27.85546875" style="3" customWidth="1"/>
    <col min="6" max="6" width="24.140625" style="3" customWidth="1"/>
    <col min="7" max="7" width="26.85546875" style="4" customWidth="1"/>
    <col min="8" max="9" width="23.140625" style="3" customWidth="1"/>
    <col min="10" max="11" width="23.42578125" style="3" customWidth="1"/>
    <col min="12" max="14" width="27.28515625" style="3" customWidth="1"/>
    <col min="15" max="15" width="30.140625" style="1" customWidth="1"/>
    <col min="16" max="16" width="42.85546875" style="1" customWidth="1"/>
    <col min="17" max="17" width="19.140625" style="3" customWidth="1"/>
    <col min="18" max="18" width="16.5703125" style="3" customWidth="1"/>
    <col min="19" max="25" width="15" style="3" customWidth="1"/>
    <col min="26" max="38" width="19.7109375" style="3" customWidth="1"/>
    <col min="39" max="39" width="16.42578125" style="3" customWidth="1"/>
    <col min="40" max="42" width="15.42578125" style="3" customWidth="1"/>
    <col min="43" max="45" width="18.5703125" style="5" customWidth="1"/>
    <col min="46" max="46" width="18.5703125" style="4" customWidth="1"/>
    <col min="47" max="47" width="15.85546875" style="3" customWidth="1"/>
    <col min="48" max="48" width="17.85546875" style="2" customWidth="1"/>
    <col min="49" max="58" width="13.42578125" style="1" customWidth="1"/>
    <col min="59" max="59" width="17.7109375" style="1" customWidth="1"/>
    <col min="60" max="68" width="13.5703125" style="1" customWidth="1"/>
    <col min="69" max="69" width="16.5703125" style="1" customWidth="1"/>
    <col min="70" max="70" width="13.5703125" style="1" customWidth="1"/>
    <col min="71" max="71" width="14.85546875" style="1" customWidth="1"/>
    <col min="72" max="72" width="17.140625" style="1" customWidth="1"/>
    <col min="73" max="73" width="15.42578125" style="1" customWidth="1"/>
    <col min="74" max="74" width="13.5703125" style="1" customWidth="1"/>
    <col min="75" max="75" width="16.5703125" style="1" customWidth="1"/>
    <col min="76" max="83" width="13.5703125" style="1" customWidth="1"/>
    <col min="84" max="84" width="16.140625" style="1" customWidth="1"/>
    <col min="85" max="85" width="16.42578125" style="1" customWidth="1"/>
    <col min="86" max="86" width="20.140625" style="1" customWidth="1"/>
    <col min="87" max="89" width="13.5703125" style="1" customWidth="1"/>
    <col min="90" max="90" width="19.140625" style="1" customWidth="1"/>
  </cols>
  <sheetData>
    <row r="1" spans="1:90" ht="60" x14ac:dyDescent="0.25">
      <c r="A1" s="29" t="s">
        <v>148</v>
      </c>
      <c r="B1" s="29" t="s">
        <v>147</v>
      </c>
      <c r="C1" s="29" t="s">
        <v>146</v>
      </c>
      <c r="D1" s="29" t="s">
        <v>145</v>
      </c>
      <c r="E1" s="28" t="s">
        <v>144</v>
      </c>
      <c r="F1" s="28" t="s">
        <v>143</v>
      </c>
      <c r="G1" s="28" t="s">
        <v>142</v>
      </c>
      <c r="H1" s="28" t="s">
        <v>141</v>
      </c>
      <c r="I1" s="28" t="s">
        <v>140</v>
      </c>
      <c r="J1" s="28" t="s">
        <v>139</v>
      </c>
      <c r="K1" s="28" t="s">
        <v>138</v>
      </c>
      <c r="L1" s="28" t="s">
        <v>137</v>
      </c>
      <c r="M1" s="28" t="s">
        <v>136</v>
      </c>
      <c r="N1" s="28" t="s">
        <v>135</v>
      </c>
      <c r="O1" s="27" t="s">
        <v>134</v>
      </c>
      <c r="P1" s="27" t="s">
        <v>133</v>
      </c>
      <c r="Q1" s="26" t="s">
        <v>132</v>
      </c>
      <c r="R1" s="26" t="s">
        <v>131</v>
      </c>
      <c r="S1" s="26" t="s">
        <v>130</v>
      </c>
      <c r="T1" s="26" t="s">
        <v>129</v>
      </c>
      <c r="U1" s="26" t="s">
        <v>128</v>
      </c>
      <c r="V1" s="26" t="s">
        <v>127</v>
      </c>
      <c r="W1" s="26" t="s">
        <v>126</v>
      </c>
      <c r="X1" s="26" t="s">
        <v>125</v>
      </c>
      <c r="Y1" s="26" t="s">
        <v>124</v>
      </c>
      <c r="Z1" s="26" t="s">
        <v>123</v>
      </c>
      <c r="AA1" s="26" t="s">
        <v>122</v>
      </c>
      <c r="AB1" s="26" t="s">
        <v>121</v>
      </c>
      <c r="AC1" s="26" t="s">
        <v>120</v>
      </c>
      <c r="AD1" s="26" t="s">
        <v>119</v>
      </c>
      <c r="AE1" s="26" t="s">
        <v>118</v>
      </c>
      <c r="AF1" s="26" t="s">
        <v>117</v>
      </c>
      <c r="AG1" s="26" t="s">
        <v>116</v>
      </c>
      <c r="AH1" s="26" t="s">
        <v>115</v>
      </c>
      <c r="AI1" s="26" t="s">
        <v>114</v>
      </c>
      <c r="AJ1" s="26" t="s">
        <v>113</v>
      </c>
      <c r="AK1" s="26" t="s">
        <v>112</v>
      </c>
      <c r="AL1" s="26" t="s">
        <v>111</v>
      </c>
      <c r="AM1" s="26" t="s">
        <v>110</v>
      </c>
      <c r="AN1" s="26" t="s">
        <v>109</v>
      </c>
      <c r="AO1" s="26" t="s">
        <v>108</v>
      </c>
      <c r="AP1" s="26" t="s">
        <v>107</v>
      </c>
      <c r="AQ1" s="25" t="s">
        <v>106</v>
      </c>
      <c r="AR1" s="25" t="s">
        <v>105</v>
      </c>
      <c r="AS1" s="25" t="s">
        <v>104</v>
      </c>
      <c r="AT1" s="25" t="s">
        <v>103</v>
      </c>
      <c r="AU1" s="25" t="s">
        <v>102</v>
      </c>
      <c r="AV1" s="24" t="s">
        <v>101</v>
      </c>
      <c r="AW1" s="22" t="s">
        <v>100</v>
      </c>
      <c r="AX1" s="22" t="s">
        <v>99</v>
      </c>
      <c r="AY1" s="22" t="s">
        <v>98</v>
      </c>
      <c r="AZ1" s="22" t="s">
        <v>97</v>
      </c>
      <c r="BA1" s="22" t="s">
        <v>96</v>
      </c>
      <c r="BB1" s="22" t="s">
        <v>95</v>
      </c>
      <c r="BC1" s="22" t="s">
        <v>94</v>
      </c>
      <c r="BD1" s="22" t="s">
        <v>93</v>
      </c>
      <c r="BE1" s="22" t="s">
        <v>92</v>
      </c>
      <c r="BF1" s="22" t="s">
        <v>91</v>
      </c>
      <c r="BG1" s="22" t="s">
        <v>90</v>
      </c>
      <c r="BH1" s="23" t="s">
        <v>89</v>
      </c>
      <c r="BI1" s="23" t="s">
        <v>88</v>
      </c>
      <c r="BJ1" s="23" t="s">
        <v>87</v>
      </c>
      <c r="BK1" s="23" t="s">
        <v>86</v>
      </c>
      <c r="BL1" s="23" t="s">
        <v>85</v>
      </c>
      <c r="BM1" s="23" t="s">
        <v>84</v>
      </c>
      <c r="BN1" s="23" t="s">
        <v>83</v>
      </c>
      <c r="BO1" s="22" t="s">
        <v>82</v>
      </c>
      <c r="BP1" s="22" t="s">
        <v>81</v>
      </c>
      <c r="BQ1" s="23" t="s">
        <v>80</v>
      </c>
      <c r="BR1" s="23" t="s">
        <v>79</v>
      </c>
      <c r="BS1" s="23" t="s">
        <v>78</v>
      </c>
      <c r="BT1" s="23" t="s">
        <v>77</v>
      </c>
      <c r="BU1" s="23" t="s">
        <v>76</v>
      </c>
      <c r="BV1" s="22" t="s">
        <v>75</v>
      </c>
      <c r="BW1" s="22" t="s">
        <v>74</v>
      </c>
      <c r="BX1" s="21" t="s">
        <v>73</v>
      </c>
      <c r="BY1" s="21" t="s">
        <v>72</v>
      </c>
      <c r="BZ1" s="21" t="s">
        <v>71</v>
      </c>
      <c r="CA1" s="21" t="s">
        <v>70</v>
      </c>
      <c r="CB1" s="21" t="s">
        <v>69</v>
      </c>
      <c r="CC1" s="21" t="s">
        <v>68</v>
      </c>
      <c r="CD1" s="21" t="s">
        <v>67</v>
      </c>
      <c r="CE1" s="21" t="s">
        <v>66</v>
      </c>
      <c r="CF1" s="21" t="s">
        <v>65</v>
      </c>
      <c r="CG1" s="21" t="s">
        <v>64</v>
      </c>
      <c r="CH1" s="21" t="s">
        <v>63</v>
      </c>
      <c r="CI1" s="21" t="s">
        <v>62</v>
      </c>
      <c r="CJ1" s="21" t="s">
        <v>61</v>
      </c>
      <c r="CK1" s="21" t="s">
        <v>60</v>
      </c>
      <c r="CL1" s="21" t="s">
        <v>59</v>
      </c>
    </row>
    <row r="2" spans="1:90" ht="30" x14ac:dyDescent="0.25">
      <c r="A2" s="13" t="s">
        <v>31</v>
      </c>
      <c r="B2" s="13" t="s">
        <v>58</v>
      </c>
      <c r="C2" s="19" t="str">
        <f>VLOOKUP($B2,'[1]Cost Analysis'!$C:$FO,7,FALSE)</f>
        <v>Proposal</v>
      </c>
      <c r="D2" s="19" t="str">
        <f>VLOOKUP($B2,'[1]Cost Analysis'!$C:$FO,8,FALSE)</f>
        <v>Late Design</v>
      </c>
      <c r="E2" s="18">
        <f>IF(ISERROR(VLOOKUP($B2,'[1]Cost Analysis'!$C:$FO,9,FALSE)),"",VLOOKUP($B2,'[1]Cost Analysis'!$C:$FO,9,FALSE))</f>
        <v>72282816</v>
      </c>
      <c r="F2" s="17">
        <f>IF(ISERROR(VLOOKUP($B2,'[1]Cost Analysis'!$C:$FO,10,FALSE)),"",VLOOKUP($B2,'[1]Cost Analysis'!$C:$FO,10,FALSE))</f>
        <v>413.71843287639871</v>
      </c>
      <c r="G2" s="9">
        <f>IF(ISERROR(VLOOKUP($B2,'[1]Cost Analysis'!$C:$FO,12,FALSE)),"",VLOOKUP($B2,'[1]Cost Analysis'!$C:$FO,12,FALSE))</f>
        <v>10842422.4</v>
      </c>
      <c r="H2" s="17">
        <f>IF(ISERROR(VLOOKUP($B2,'[1]Cost Analysis'!$C:$FO,13,FALSE)),"",VLOOKUP($B2,'[1]Cost Analysis'!$C:$FO,13,FALSE))</f>
        <v>62.057764931459808</v>
      </c>
      <c r="I2" s="16">
        <f>IF(ISERROR(VLOOKUP($B2,'[1]Cost Analysis'!$C:$FO,14,FALSE)),"",VLOOKUP($B2,'[1]Cost Analysis'!$C:$FO,14,FALSE))</f>
        <v>0.15</v>
      </c>
      <c r="J2" s="18">
        <f>IF(ISERROR(VLOOKUP($B2,'[1]Cost Analysis'!$C:$FO,15,FALSE)),"",VLOOKUP($B2,'[1]Cost Analysis'!$C:$FO,15,FALSE))</f>
        <v>1300000</v>
      </c>
      <c r="K2" s="16">
        <f>IF(ISERROR(VLOOKUP($B2,'[1]Cost Analysis'!$C:$FO,16,FALSE)),"",VLOOKUP($B2,'[1]Cost Analysis'!$C:$FO,16,FALSE))</f>
        <v>1.7984910825831688E-2</v>
      </c>
      <c r="L2" s="17">
        <f>IF(ISERROR(VLOOKUP($B2,'[1]Cost Analysis'!$C:$FO,17,FALSE)),"",VLOOKUP($B2,'[1]Cost Analysis'!$C:$FO,17,FALSE))</f>
        <v>9542422.4000000004</v>
      </c>
      <c r="M2" s="17">
        <f>IF(ISERROR(VLOOKUP($B2,'[1]Cost Analysis'!$C:$FO,18,FALSE)),"",VLOOKUP($B2,'[1]Cost Analysis'!$C:$FO,18,FALSE))</f>
        <v>54.617075809174942</v>
      </c>
      <c r="N2" s="16">
        <f>IF(ISERROR(VLOOKUP($B2,'[1]Cost Analysis'!$C:$FO,19,FALSE)),"",VLOOKUP($B2,'[1]Cost Analysis'!$C:$FO,19,FALSE))</f>
        <v>0.13201508917416832</v>
      </c>
      <c r="O2" s="11">
        <f>IF(ISERROR(VLOOKUP($B2,'[1]Cost Analysis'!$C:$FO,36,FALSE)),"",VLOOKUP($B2,'[1]Cost Analysis'!$C:$FO,36,FALSE))</f>
        <v>300000</v>
      </c>
      <c r="P2" s="13" t="str">
        <f>IF(ISERROR(VLOOKUP($B2,'[1]Cost Analysis'!$C:$FO,37,FALSE)),"",VLOOKUP($B2,'[1]Cost Analysis'!$C:$FO,37,FALSE))</f>
        <v>Solar Thermal</v>
      </c>
      <c r="Q2" s="11">
        <f>VLOOKUP($B2,'[1]Cost Analysis'!$C:$FO,39,FALSE)</f>
        <v>174715</v>
      </c>
      <c r="R2" s="11">
        <f>VLOOKUP($B2,'[1]Cost Analysis'!$C:$FO,40,FALSE)</f>
        <v>144985</v>
      </c>
      <c r="S2" s="13">
        <f>VLOOKUP($B2,'[1]Cost Analysis'!$C:$FO,41,FALSE)</f>
        <v>1</v>
      </c>
      <c r="T2" s="13">
        <f>VLOOKUP($B2,'[1]Cost Analysis'!$C:$FO,42,FALSE)</f>
        <v>8</v>
      </c>
      <c r="U2" s="13">
        <f>VLOOKUP($B2,'[1]Cost Analysis'!$C:$FO,43,FALSE)</f>
        <v>160</v>
      </c>
      <c r="V2" s="13" t="str">
        <f>VLOOKUP($B2,'[1]Cost Analysis'!$C:$FO,44,FALSE)</f>
        <v>ASHRAE</v>
      </c>
      <c r="W2" s="13" t="str">
        <f>VLOOKUP($B2,'[1]Cost Analysis'!$C:$FO,45,FALSE)</f>
        <v>NYC</v>
      </c>
      <c r="X2" s="15" t="str">
        <f>VLOOKUP($B2,'[1]Cost Analysis'!$C:$FO,46,FALSE)</f>
        <v>All Electric</v>
      </c>
      <c r="Y2" s="14" t="str">
        <f>VLOOKUP($B2,'[1]Cost Analysis'!$C:$FO,47,FALSE)</f>
        <v>LMI</v>
      </c>
      <c r="Z2" s="13" t="str">
        <f>VLOOKUP($B2,'[1]Cost Analysis'!$C:$FO,48,FALSE)</f>
        <v>Yes</v>
      </c>
      <c r="AA2" s="13" t="str">
        <f>VLOOKUP($B2,'[1]Cost Analysis'!$C:$FO,49,FALSE)</f>
        <v>Steel and Plank</v>
      </c>
      <c r="AB2" s="13" t="str">
        <f>VLOOKUP($B2,'[1]Cost Analysis'!$C:$FO,50,FALSE)</f>
        <v>VRF - ASHP</v>
      </c>
      <c r="AC2" s="13" t="str">
        <f>VLOOKUP($B2,'[1]Cost Analysis'!$C:$FO,51,FALSE)</f>
        <v>ERV</v>
      </c>
      <c r="AD2" s="13" t="str">
        <f>VLOOKUP($B2,'[1]Cost Analysis'!$C:$FO,52,FALSE)</f>
        <v>ASHP</v>
      </c>
      <c r="AE2" s="13" t="str">
        <f>VLOOKUP($B2,'[1]Cost Analysis'!$C:$FO,53,FALSE)</f>
        <v>Yes</v>
      </c>
      <c r="AF2" s="13" t="str">
        <f>VLOOKUP($B2,'[1]Cost Analysis'!$C:$FO,54,FALSE)</f>
        <v>Mid Rise</v>
      </c>
      <c r="AG2" s="13" t="str">
        <f>IF(VLOOKUP($B2,'[1]Cost Analysis'!$C:$FO,55,FALSE)="PV","Yes","No")</f>
        <v>Yes</v>
      </c>
      <c r="AH2" s="13" t="str">
        <f>VLOOKUP($B2,'[1]Cost Analysis'!$C:$FO,57,FALSE)</f>
        <v>No</v>
      </c>
      <c r="AI2" s="13" t="str">
        <f>VLOOKUP($B2,'[1]Cost Analysis'!$C:$FO,58,FALSE)</f>
        <v>No</v>
      </c>
      <c r="AJ2" s="13" t="str">
        <f>VLOOKUP($B2,'[1]Cost Analysis'!$C:$FO,59,FALSE)</f>
        <v>No</v>
      </c>
      <c r="AK2" s="13">
        <f>VLOOKUP($B2,'[1]Cost Analysis'!$C:$FO,60,FALSE)</f>
        <v>4</v>
      </c>
      <c r="AL2" s="13" t="str">
        <f>VLOOKUP($B2,'[1]Cost Analysis'!$C:$FO,61,FALSE)</f>
        <v>No</v>
      </c>
      <c r="AM2" s="13" t="str">
        <f>VLOOKUP($B2,'[1]Cost Analysis'!$C:$FO,62,FALSE)</f>
        <v>NC</v>
      </c>
      <c r="AN2" s="12" t="str">
        <f>VLOOKUP($B2,'[1]Cost Analysis'!$C:$FO,63,FALSE)</f>
        <v>2016 ECCC of NYS</v>
      </c>
      <c r="AO2" s="12" t="str">
        <f>VLOOKUP($B2,'[1]Cost Analysis'!$C:$FO,67,FALSE)</f>
        <v>No</v>
      </c>
      <c r="AP2" s="12" t="str">
        <f>VLOOKUP($B2,'[1]Cost Analysis'!$C:$FO,69,FALSE)</f>
        <v>No</v>
      </c>
      <c r="AQ2" s="11">
        <f>VLOOKUP($B2,'[1]Cost Analysis'!$C:$FO,74,FALSE)</f>
        <v>7862175</v>
      </c>
      <c r="AR2" s="11">
        <f>VLOOKUP($B2,'[1]Cost Analysis'!$C:$FO,75,FALSE)</f>
        <v>7562175</v>
      </c>
      <c r="AS2" s="10">
        <f>IF(ISERROR(VLOOKUP($B2,'[1]Cost Analysis'!$C:$FO,76,FALSE)),"",VLOOKUP($B2,'[1]Cost Analysis'!$C:$FO,76,FALSE))</f>
        <v>3.8157380114281353E-2</v>
      </c>
      <c r="AT2" s="9">
        <f>VLOOKUP($B2,'[1]Cost Analysis'!$C:$FO,78,FALSE)</f>
        <v>333428.11</v>
      </c>
      <c r="AU2" s="9">
        <f>VLOOKUP($B2,'[1]Cost Analysis'!$C:$FO,82,FALSE)</f>
        <v>2.299742111252888</v>
      </c>
      <c r="AV2" s="8">
        <f>VLOOKUP($B2,'[1]Cost Analysis'!$C:$FO,83,FALSE)</f>
        <v>43.282917894857341</v>
      </c>
      <c r="AW2" s="7" t="str">
        <f>IF(VLOOKUP($B2,'[1]Cost Analysis'!$C:$FO,86,FALSE)=0,"",VLOOKUP($B2,'[1]Cost Analysis'!$C:$FO,86,FALSE))</f>
        <v/>
      </c>
      <c r="AX2" s="7" t="str">
        <f>IF(VLOOKUP($B2,'[1]Cost Analysis'!$C:$FO,87,FALSE)=0,"",VLOOKUP($B2,'[1]Cost Analysis'!$C:$FO,87,FALSE))</f>
        <v/>
      </c>
      <c r="AY2" s="7" t="str">
        <f>IF(VLOOKUP($B2,'[1]Cost Analysis'!$C:$FO,88,FALSE)=0,"",VLOOKUP($B2,'[1]Cost Analysis'!$C:$FO,88,FALSE))</f>
        <v/>
      </c>
      <c r="AZ2" s="7" t="str">
        <f>IF(VLOOKUP($B2,'[1]Cost Analysis'!$C:$FO,89,FALSE)=0,"",VLOOKUP($B2,'[1]Cost Analysis'!$C:$FO,89,FALSE))</f>
        <v/>
      </c>
      <c r="BA2" s="7" t="str">
        <f>IF(VLOOKUP($B2,'[1]Cost Analysis'!$C:$FO,90,FALSE)=0,"",VLOOKUP($B2,'[1]Cost Analysis'!$C:$FO,90,FALSE))</f>
        <v/>
      </c>
      <c r="BB2" s="7" t="str">
        <f>IF(VLOOKUP($B2,'[1]Cost Analysis'!$C:$FO,91,FALSE)=0,"",VLOOKUP($B2,'[1]Cost Analysis'!$C:$FO,91,FALSE))</f>
        <v/>
      </c>
      <c r="BC2" s="7" t="str">
        <f>IF(VLOOKUP($B2,'[1]Cost Analysis'!$C:$FO,92,FALSE)=0,"",VLOOKUP($B2,'[1]Cost Analysis'!$C:$FO,92,FALSE))</f>
        <v/>
      </c>
      <c r="BD2" s="7" t="str">
        <f>IF(VLOOKUP($B2,'[1]Cost Analysis'!$C:$FO,93,FALSE)=0,"",VLOOKUP($B2,'[1]Cost Analysis'!$C:$FO,93,FALSE))</f>
        <v/>
      </c>
      <c r="BE2" s="7" t="str">
        <f>IF(VLOOKUP($B2,'[1]Cost Analysis'!$C:$FO,94,FALSE)=0,"",VLOOKUP($B2,'[1]Cost Analysis'!$C:$FO,94,FALSE))</f>
        <v/>
      </c>
      <c r="BF2" s="7" t="str">
        <f>IF(VLOOKUP($B2,'[1]Cost Analysis'!$C:$FO,95,FALSE)=0,"",VLOOKUP($B2,'[1]Cost Analysis'!$C:$FO,95,FALSE))</f>
        <v/>
      </c>
      <c r="BG2" s="7" t="str">
        <f>IF(VLOOKUP($B2,'[1]Cost Analysis'!$C:$FO,96,FALSE)=0,"",VLOOKUP($B2,'[1]Cost Analysis'!$C:$FO,96,FALSE))</f>
        <v/>
      </c>
      <c r="BH2" s="7" t="str">
        <f>IF(VLOOKUP($B2,'[1]Cost Analysis'!$C:$FO,97,FALSE)=0,"",VLOOKUP($B2,'[1]Cost Analysis'!$C:$FO,97,FALSE))</f>
        <v/>
      </c>
      <c r="BI2" s="7" t="str">
        <f>IF(VLOOKUP($B2,'[1]Cost Analysis'!$C:$FO,98,FALSE)=0,"",VLOOKUP($B2,'[1]Cost Analysis'!$C:$FO,98,FALSE))</f>
        <v/>
      </c>
      <c r="BJ2" s="7" t="str">
        <f>IF(VLOOKUP($B2,'[1]Cost Analysis'!$C:$FO,99,FALSE)=0,"",VLOOKUP($B2,'[1]Cost Analysis'!$C:$FO,99,FALSE))</f>
        <v/>
      </c>
      <c r="BK2" s="7" t="str">
        <f>IF(VLOOKUP($B2,'[1]Cost Analysis'!$C:$FO,100,FALSE)=0,"",VLOOKUP($B2,'[1]Cost Analysis'!$C:$FO,100,FALSE))</f>
        <v/>
      </c>
      <c r="BL2" s="7" t="str">
        <f>IF(VLOOKUP($B2,'[1]Cost Analysis'!$C:$FO,101,FALSE)=0,"",VLOOKUP($B2,'[1]Cost Analysis'!$C:$FO,101,FALSE))</f>
        <v/>
      </c>
      <c r="BM2" s="7" t="str">
        <f>IF(VLOOKUP($B2,'[1]Cost Analysis'!$C:$FO,102,FALSE)=0,"",VLOOKUP($B2,'[1]Cost Analysis'!$C:$FO,102,FALSE))</f>
        <v/>
      </c>
      <c r="BN2" s="7" t="str">
        <f>IF(VLOOKUP($B2,'[1]Cost Analysis'!$C:$FO,103,FALSE)=0,"",VLOOKUP($B2,'[1]Cost Analysis'!$C:$FO,103,FALSE))</f>
        <v/>
      </c>
      <c r="BO2" s="7" t="str">
        <f>IF(VLOOKUP($B2,'[1]Cost Analysis'!$C:$FO,104,FALSE)=0,"",VLOOKUP($B2,'[1]Cost Analysis'!$C:$FO,104,FALSE))</f>
        <v/>
      </c>
      <c r="BP2" s="7" t="str">
        <f>IF(VLOOKUP($B2,'[1]Cost Analysis'!$C:$FO,105,FALSE)=0,"",VLOOKUP($B2,'[1]Cost Analysis'!$C:$FO,105,FALSE))</f>
        <v/>
      </c>
      <c r="BQ2" s="7" t="str">
        <f>IF(VLOOKUP($B2,'[1]Cost Analysis'!$C:$FO,106,FALSE)=0,"",VLOOKUP($B2,'[1]Cost Analysis'!$C:$FO,106,FALSE))</f>
        <v/>
      </c>
      <c r="BR2" s="7" t="str">
        <f>IF(VLOOKUP($B2,'[1]Cost Analysis'!$C:$FO,107,FALSE)=0,"",VLOOKUP($B2,'[1]Cost Analysis'!$C:$FO,107,FALSE))</f>
        <v/>
      </c>
      <c r="BS2" s="7" t="str">
        <f>IF(VLOOKUP($B2,'[1]Cost Analysis'!$C:$FO,108,FALSE)=0,"",VLOOKUP($B2,'[1]Cost Analysis'!$C:$FO,108,FALSE))</f>
        <v/>
      </c>
      <c r="BT2" s="7" t="str">
        <f>IF(VLOOKUP($B2,'[1]Cost Analysis'!$C:$FO,109,FALSE)=0,"",VLOOKUP($B2,'[1]Cost Analysis'!$C:$FO,109,FALSE))</f>
        <v/>
      </c>
      <c r="BU2" s="7" t="str">
        <f>IF(VLOOKUP($B2,'[1]Cost Analysis'!$C:$FO,110,FALSE)=0,"",VLOOKUP($B2,'[1]Cost Analysis'!$C:$FO,110,FALSE))</f>
        <v/>
      </c>
      <c r="BV2" s="7" t="str">
        <f>IF(VLOOKUP($B2,'[1]Cost Analysis'!$C:$FO,111,FALSE)=0,"",VLOOKUP($B2,'[1]Cost Analysis'!$C:$FO,111,FALSE))</f>
        <v/>
      </c>
      <c r="BW2" s="7" t="str">
        <f>IF(VLOOKUP($B2,'[1]Cost Analysis'!$C:$FO,112,FALSE)=0,"",VLOOKUP($B2,'[1]Cost Analysis'!$C:$FO,112,FALSE))</f>
        <v/>
      </c>
      <c r="BX2" s="7" t="str">
        <f>IF(VLOOKUP($B2,'[1]Cost Analysis'!$C:$FO,125,FALSE)=0,"",VLOOKUP($B2,'[1]Cost Analysis'!$C:$FO,125,FALSE))</f>
        <v/>
      </c>
      <c r="BY2" s="7" t="str">
        <f>IF(VLOOKUP($B2,'[1]Cost Analysis'!$C:$FO,126,FALSE)=0,"",VLOOKUP($B2,'[1]Cost Analysis'!$C:$FO,126,FALSE))</f>
        <v/>
      </c>
      <c r="BZ2" s="7" t="str">
        <f>IF(VLOOKUP($B2,'[1]Cost Analysis'!$C:$FO,127,FALSE)=0,"",VLOOKUP($B2,'[1]Cost Analysis'!$C:$FO,127,FALSE))</f>
        <v/>
      </c>
      <c r="CA2" s="7" t="str">
        <f>IF(VLOOKUP($B2,'[1]Cost Analysis'!$C:$FO,128,FALSE)=0,"",VLOOKUP($B2,'[1]Cost Analysis'!$C:$FO,128,FALSE))</f>
        <v/>
      </c>
      <c r="CB2" s="7" t="str">
        <f>IF(VLOOKUP($B2,'[1]Cost Analysis'!$C:$FO,129,FALSE)=0,"",VLOOKUP($B2,'[1]Cost Analysis'!$C:$FO,129,FALSE))</f>
        <v/>
      </c>
      <c r="CC2" s="7" t="str">
        <f>IF(VLOOKUP($B2,'[1]Cost Analysis'!$C:$FO,130,FALSE)=0,"",VLOOKUP($B2,'[1]Cost Analysis'!$C:$FO,130,FALSE))</f>
        <v/>
      </c>
      <c r="CD2" s="7" t="str">
        <f>IF(VLOOKUP($B2,'[1]Cost Analysis'!$C:$FO,131,FALSE)=0,"",VLOOKUP($B2,'[1]Cost Analysis'!$C:$FO,131,FALSE))</f>
        <v/>
      </c>
      <c r="CE2" s="7" t="str">
        <f>IF(VLOOKUP($B2,'[1]Cost Analysis'!$C:$FO,132,FALSE)=0,"",VLOOKUP($B2,'[1]Cost Analysis'!$C:$FO,132,FALSE))</f>
        <v/>
      </c>
      <c r="CF2" s="7" t="str">
        <f>IF(VLOOKUP($B2,'[1]Cost Analysis'!$C:$FO,133,FALSE)=0,"",VLOOKUP($B2,'[1]Cost Analysis'!$C:$FO,133,FALSE))</f>
        <v/>
      </c>
      <c r="CG2" s="7" t="str">
        <f>IF(VLOOKUP($B2,'[1]Cost Analysis'!$C:$FO,134,FALSE)=0,"",VLOOKUP($B2,'[1]Cost Analysis'!$C:$FO,134,FALSE))</f>
        <v/>
      </c>
      <c r="CH2" s="7" t="str">
        <f>IF(VLOOKUP($B2,'[1]Cost Analysis'!$C:$FO,135,FALSE)=0,"",VLOOKUP($B2,'[1]Cost Analysis'!$C:$FO,135,FALSE))</f>
        <v/>
      </c>
      <c r="CI2" s="7" t="str">
        <f>IF(VLOOKUP($B2,'[1]Cost Analysis'!$C:$FO,136,FALSE)=0,"",VLOOKUP($B2,'[1]Cost Analysis'!$C:$FO,136,FALSE))</f>
        <v/>
      </c>
      <c r="CJ2" s="7" t="str">
        <f>IF(VLOOKUP($B2,'[1]Cost Analysis'!$C:$FO,137,FALSE)=0,"",VLOOKUP($B2,'[1]Cost Analysis'!$C:$FO,137,FALSE))</f>
        <v/>
      </c>
      <c r="CK2" s="7" t="str">
        <f>IF(VLOOKUP($B2,'[1]Cost Analysis'!$C:$FO,138,FALSE)=0,"",VLOOKUP($B2,'[1]Cost Analysis'!$C:$FO,138,FALSE))</f>
        <v/>
      </c>
      <c r="CL2" s="7" t="str">
        <f>IF(VLOOKUP($B2,'[1]Cost Analysis'!$C:$FO,139,FALSE)=0,"",VLOOKUP($B2,'[1]Cost Analysis'!$C:$FO,139,FALSE))</f>
        <v/>
      </c>
    </row>
    <row r="3" spans="1:90" ht="30" x14ac:dyDescent="0.25">
      <c r="A3" s="13" t="s">
        <v>31</v>
      </c>
      <c r="B3" s="13" t="s">
        <v>57</v>
      </c>
      <c r="C3" s="19" t="str">
        <f>VLOOKUP($B3,'[1]Cost Analysis'!$C:$FO,7,FALSE)</f>
        <v>Milestone 2</v>
      </c>
      <c r="D3" s="19" t="str">
        <f>VLOOKUP($B3,'[1]Cost Analysis'!$C:$FO,8,FALSE)</f>
        <v>Under Construction</v>
      </c>
      <c r="E3" s="18">
        <f>IF(ISERROR(VLOOKUP($B3,'[1]Cost Analysis'!$C:$FO,9,FALSE)),"",VLOOKUP($B3,'[1]Cost Analysis'!$C:$FO,9,FALSE))</f>
        <v>15365000.4</v>
      </c>
      <c r="F3" s="17">
        <f>IF(ISERROR(VLOOKUP($B3,'[1]Cost Analysis'!$C:$FO,10,FALSE)),"",VLOOKUP($B3,'[1]Cost Analysis'!$C:$FO,10,FALSE))</f>
        <v>372.16006394419418</v>
      </c>
      <c r="G3" s="9">
        <f>IF(ISERROR(VLOOKUP($B3,'[1]Cost Analysis'!$C:$FO,12,FALSE)),"",VLOOKUP($B3,'[1]Cost Analysis'!$C:$FO,12,FALSE))</f>
        <v>150492.62949999981</v>
      </c>
      <c r="H3" s="17">
        <f>IF(ISERROR(VLOOKUP($B3,'[1]Cost Analysis'!$C:$FO,13,FALSE)),"",VLOOKUP($B3,'[1]Cost Analysis'!$C:$FO,13,FALSE))</f>
        <v>7.464821719226852</v>
      </c>
      <c r="I3" s="16">
        <f>IF(ISERROR(VLOOKUP($B3,'[1]Cost Analysis'!$C:$FO,14,FALSE)),"",VLOOKUP($B3,'[1]Cost Analysis'!$C:$FO,14,FALSE))</f>
        <v>2.0058094466434234E-2</v>
      </c>
      <c r="J3" s="18">
        <f>IF(ISERROR(VLOOKUP($B3,'[1]Cost Analysis'!$C:$FO,15,FALSE)),"",VLOOKUP($B3,'[1]Cost Analysis'!$C:$FO,15,FALSE))</f>
        <v>520631</v>
      </c>
      <c r="K3" s="16">
        <f>IF(ISERROR(VLOOKUP($B3,'[1]Cost Analysis'!$C:$FO,16,FALSE)),"",VLOOKUP($B3,'[1]Cost Analysis'!$C:$FO,16,FALSE))</f>
        <v>3.3884216495041551E-2</v>
      </c>
      <c r="L3" s="17">
        <f>IF(ISERROR(VLOOKUP($B3,'[1]Cost Analysis'!$C:$FO,17,FALSE)),"",VLOOKUP($B3,'[1]Cost Analysis'!$C:$FO,17,FALSE))</f>
        <v>-370138.37050000019</v>
      </c>
      <c r="M3" s="17">
        <f>IF(ISERROR(VLOOKUP($B3,'[1]Cost Analysis'!$C:$FO,18,FALSE)),"",VLOOKUP($B3,'[1]Cost Analysis'!$C:$FO,18,FALSE))</f>
        <v>-5.3259977179953824</v>
      </c>
      <c r="N3" s="16">
        <f>IF(ISERROR(VLOOKUP($B3,'[1]Cost Analysis'!$C:$FO,19,FALSE)),"",VLOOKUP($B3,'[1]Cost Analysis'!$C:$FO,19,FALSE))</f>
        <v>-1.4311040420484294E-2</v>
      </c>
      <c r="O3" s="11">
        <f>IF(ISERROR(VLOOKUP($B3,'[1]Cost Analysis'!$C:$FO,36,FALSE)),"",VLOOKUP($B3,'[1]Cost Analysis'!$C:$FO,36,FALSE))</f>
        <v>134552</v>
      </c>
      <c r="P3" s="13" t="str">
        <f>IF(ISERROR(VLOOKUP($B3,'[1]Cost Analysis'!$C:$FO,37,FALSE)),"",VLOOKUP($B3,'[1]Cost Analysis'!$C:$FO,37,FALSE))</f>
        <v>Onsite Solar electric (PV) Owned</v>
      </c>
      <c r="Q3" s="11">
        <f>VLOOKUP($B3,'[1]Cost Analysis'!$C:$FO,39,FALSE)</f>
        <v>41286</v>
      </c>
      <c r="R3" s="11">
        <f>VLOOKUP($B3,'[1]Cost Analysis'!$C:$FO,40,FALSE)</f>
        <v>41286</v>
      </c>
      <c r="S3" s="13">
        <f>VLOOKUP($B3,'[1]Cost Analysis'!$C:$FO,41,FALSE)</f>
        <v>1</v>
      </c>
      <c r="T3" s="13">
        <f>VLOOKUP($B3,'[1]Cost Analysis'!$C:$FO,42,FALSE)</f>
        <v>9</v>
      </c>
      <c r="U3" s="13">
        <f>VLOOKUP($B3,'[1]Cost Analysis'!$C:$FO,43,FALSE)</f>
        <v>45</v>
      </c>
      <c r="V3" s="13" t="str">
        <f>VLOOKUP($B3,'[1]Cost Analysis'!$C:$FO,44,FALSE)</f>
        <v>Phius</v>
      </c>
      <c r="W3" s="13" t="str">
        <f>VLOOKUP($B3,'[1]Cost Analysis'!$C:$FO,45,FALSE)</f>
        <v>NYC</v>
      </c>
      <c r="X3" s="15" t="str">
        <f>VLOOKUP($B3,'[1]Cost Analysis'!$C:$FO,46,FALSE)</f>
        <v>Fossil Fuels</v>
      </c>
      <c r="Y3" s="14" t="str">
        <f>VLOOKUP($B3,'[1]Cost Analysis'!$C:$FO,47,FALSE)</f>
        <v>LMI</v>
      </c>
      <c r="Z3" s="13" t="str">
        <f>VLOOKUP($B3,'[1]Cost Analysis'!$C:$FO,48,FALSE)</f>
        <v>Yes</v>
      </c>
      <c r="AA3" s="13" t="str">
        <f>VLOOKUP($B3,'[1]Cost Analysis'!$C:$FO,49,FALSE)</f>
        <v xml:space="preserve">ICF and Plank </v>
      </c>
      <c r="AB3" s="13" t="str">
        <f>VLOOKUP($B3,'[1]Cost Analysis'!$C:$FO,50,FALSE)</f>
        <v>VRF - ASHP</v>
      </c>
      <c r="AC3" s="13" t="str">
        <f>VLOOKUP($B3,'[1]Cost Analysis'!$C:$FO,51,FALSE)</f>
        <v>ERV</v>
      </c>
      <c r="AD3" s="13" t="str">
        <f>VLOOKUP($B3,'[1]Cost Analysis'!$C:$FO,52,FALSE)</f>
        <v>Fossil Fuel</v>
      </c>
      <c r="AE3" s="13" t="str">
        <f>VLOOKUP($B3,'[1]Cost Analysis'!$C:$FO,53,FALSE)</f>
        <v>Yes</v>
      </c>
      <c r="AF3" s="13" t="str">
        <f>VLOOKUP($B3,'[1]Cost Analysis'!$C:$FO,54,FALSE)</f>
        <v>Mid Rise</v>
      </c>
      <c r="AG3" s="13" t="str">
        <f>IF(VLOOKUP($B3,'[1]Cost Analysis'!$C:$FO,55,FALSE)="PV","Yes","No")</f>
        <v>Yes</v>
      </c>
      <c r="AH3" s="13" t="str">
        <f>VLOOKUP($B3,'[1]Cost Analysis'!$C:$FO,57,FALSE)</f>
        <v>Yes</v>
      </c>
      <c r="AI3" s="13" t="str">
        <f>VLOOKUP($B3,'[1]Cost Analysis'!$C:$FO,58,FALSE)</f>
        <v>No</v>
      </c>
      <c r="AJ3" s="13" t="str">
        <f>VLOOKUP($B3,'[1]Cost Analysis'!$C:$FO,59,FALSE)</f>
        <v>No</v>
      </c>
      <c r="AK3" s="13">
        <f>VLOOKUP($B3,'[1]Cost Analysis'!$C:$FO,60,FALSE)</f>
        <v>4</v>
      </c>
      <c r="AL3" s="13" t="str">
        <f>VLOOKUP($B3,'[1]Cost Analysis'!$C:$FO,61,FALSE)</f>
        <v>Yes</v>
      </c>
      <c r="AM3" s="13" t="str">
        <f>VLOOKUP($B3,'[1]Cost Analysis'!$C:$FO,62,FALSE)</f>
        <v>NC</v>
      </c>
      <c r="AN3" s="12" t="str">
        <f>VLOOKUP($B3,'[1]Cost Analysis'!$C:$FO,63,FALSE)</f>
        <v>2016 ECCC of NYS</v>
      </c>
      <c r="AO3" s="12" t="str">
        <f>VLOOKUP($B3,'[1]Cost Analysis'!$C:$FO,67,FALSE)</f>
        <v>Yes</v>
      </c>
      <c r="AP3" s="12" t="str">
        <f>VLOOKUP($B3,'[1]Cost Analysis'!$C:$FO,69,FALSE)</f>
        <v>No</v>
      </c>
      <c r="AQ3" s="11">
        <f>VLOOKUP($B3,'[1]Cost Analysis'!$C:$FO,74,FALSE)</f>
        <v>1368312</v>
      </c>
      <c r="AR3" s="11">
        <f>VLOOKUP($B3,'[1]Cost Analysis'!$C:$FO,75,FALSE)</f>
        <v>1233760</v>
      </c>
      <c r="AS3" s="10">
        <f>IF(ISERROR(VLOOKUP($B3,'[1]Cost Analysis'!$C:$FO,76,FALSE)),"",VLOOKUP($B3,'[1]Cost Analysis'!$C:$FO,76,FALSE))</f>
        <v>9.8334298025596498E-2</v>
      </c>
      <c r="AT3" s="9">
        <f>VLOOKUP($B3,'[1]Cost Analysis'!$C:$FO,78,FALSE)</f>
        <v>55885.82</v>
      </c>
      <c r="AU3" s="9">
        <f>VLOOKUP($B3,'[1]Cost Analysis'!$C:$FO,82,FALSE)</f>
        <v>1.3536264108898901</v>
      </c>
      <c r="AV3" s="8">
        <f>VLOOKUP($B3,'[1]Cost Analysis'!$C:$FO,83,FALSE)</f>
        <v>29.883253403090634</v>
      </c>
      <c r="AW3" s="7">
        <f>IF(VLOOKUP($B3,'[1]Cost Analysis'!$C:$FO,86,FALSE)=0,"",VLOOKUP($B3,'[1]Cost Analysis'!$C:$FO,86,FALSE))</f>
        <v>879051</v>
      </c>
      <c r="AX3" s="7">
        <f>IF(VLOOKUP($B3,'[1]Cost Analysis'!$C:$FO,87,FALSE)=0,"",VLOOKUP($B3,'[1]Cost Analysis'!$C:$FO,87,FALSE))</f>
        <v>1130801.5899999999</v>
      </c>
      <c r="AY3" s="7">
        <f>IF(VLOOKUP($B3,'[1]Cost Analysis'!$C:$FO,88,FALSE)=0,"",VLOOKUP($B3,'[1]Cost Analysis'!$C:$FO,88,FALSE))</f>
        <v>240000</v>
      </c>
      <c r="AZ3" s="7">
        <f>IF(VLOOKUP($B3,'[1]Cost Analysis'!$C:$FO,89,FALSE)=0,"",VLOOKUP($B3,'[1]Cost Analysis'!$C:$FO,89,FALSE))</f>
        <v>140736</v>
      </c>
      <c r="BA3" s="7" t="str">
        <f>IF(VLOOKUP($B3,'[1]Cost Analysis'!$C:$FO,90,FALSE)=0,"",VLOOKUP($B3,'[1]Cost Analysis'!$C:$FO,90,FALSE))</f>
        <v/>
      </c>
      <c r="BB3" s="7">
        <f>IF(VLOOKUP($B3,'[1]Cost Analysis'!$C:$FO,91,FALSE)=0,"",VLOOKUP($B3,'[1]Cost Analysis'!$C:$FO,91,FALSE))</f>
        <v>200000</v>
      </c>
      <c r="BC3" s="7" t="str">
        <f>IF(VLOOKUP($B3,'[1]Cost Analysis'!$C:$FO,92,FALSE)=0,"",VLOOKUP($B3,'[1]Cost Analysis'!$C:$FO,92,FALSE))</f>
        <v/>
      </c>
      <c r="BD3" s="7" t="str">
        <f>IF(VLOOKUP($B3,'[1]Cost Analysis'!$C:$FO,93,FALSE)=0,"",VLOOKUP($B3,'[1]Cost Analysis'!$C:$FO,93,FALSE))</f>
        <v/>
      </c>
      <c r="BE3" s="7">
        <f>IF(VLOOKUP($B3,'[1]Cost Analysis'!$C:$FO,94,FALSE)=0,"",VLOOKUP($B3,'[1]Cost Analysis'!$C:$FO,94,FALSE))</f>
        <v>645948</v>
      </c>
      <c r="BF3" s="7">
        <f>IF(VLOOKUP($B3,'[1]Cost Analysis'!$C:$FO,95,FALSE)=0,"",VLOOKUP($B3,'[1]Cost Analysis'!$C:$FO,95,FALSE))</f>
        <v>12128463.810000001</v>
      </c>
      <c r="BG3" s="7">
        <f>IF(VLOOKUP($B3,'[1]Cost Analysis'!$C:$FO,96,FALSE)=0,"",VLOOKUP($B3,'[1]Cost Analysis'!$C:$FO,96,FALSE))</f>
        <v>15365000.4</v>
      </c>
      <c r="BH3" s="7">
        <f>IF(VLOOKUP($B3,'[1]Cost Analysis'!$C:$FO,97,FALSE)=0,"",VLOOKUP($B3,'[1]Cost Analysis'!$C:$FO,97,FALSE))</f>
        <v>-157700</v>
      </c>
      <c r="BI3" s="7" t="str">
        <f>IF(VLOOKUP($B3,'[1]Cost Analysis'!$C:$FO,98,FALSE)=0,"",VLOOKUP($B3,'[1]Cost Analysis'!$C:$FO,98,FALSE))</f>
        <v/>
      </c>
      <c r="BJ3" s="7" t="str">
        <f>IF(VLOOKUP($B3,'[1]Cost Analysis'!$C:$FO,99,FALSE)=0,"",VLOOKUP($B3,'[1]Cost Analysis'!$C:$FO,99,FALSE))</f>
        <v/>
      </c>
      <c r="BK3" s="7" t="str">
        <f>IF(VLOOKUP($B3,'[1]Cost Analysis'!$C:$FO,100,FALSE)=0,"",VLOOKUP($B3,'[1]Cost Analysis'!$C:$FO,100,FALSE))</f>
        <v/>
      </c>
      <c r="BL3" s="7" t="str">
        <f>IF(VLOOKUP($B3,'[1]Cost Analysis'!$C:$FO,101,FALSE)=0,"",VLOOKUP($B3,'[1]Cost Analysis'!$C:$FO,101,FALSE))</f>
        <v/>
      </c>
      <c r="BM3" s="7">
        <f>IF(VLOOKUP($B3,'[1]Cost Analysis'!$C:$FO,102,FALSE)=0,"",VLOOKUP($B3,'[1]Cost Analysis'!$C:$FO,102,FALSE))</f>
        <v>-12000</v>
      </c>
      <c r="BN3" s="7" t="str">
        <f>IF(VLOOKUP($B3,'[1]Cost Analysis'!$C:$FO,103,FALSE)=0,"",VLOOKUP($B3,'[1]Cost Analysis'!$C:$FO,103,FALSE))</f>
        <v/>
      </c>
      <c r="BO3" s="7">
        <f>IF(VLOOKUP($B3,'[1]Cost Analysis'!$C:$FO,104,FALSE)=0,"",VLOOKUP($B3,'[1]Cost Analysis'!$C:$FO,104,FALSE))</f>
        <v>-169700</v>
      </c>
      <c r="BP3" s="7">
        <f>IF(VLOOKUP($B3,'[1]Cost Analysis'!$C:$FO,105,FALSE)=0,"",VLOOKUP($B3,'[1]Cost Analysis'!$C:$FO,105,FALSE))</f>
        <v>-350931</v>
      </c>
      <c r="BQ3" s="7" t="str">
        <f>IF(VLOOKUP($B3,'[1]Cost Analysis'!$C:$FO,106,FALSE)=0,"",VLOOKUP($B3,'[1]Cost Analysis'!$C:$FO,106,FALSE))</f>
        <v/>
      </c>
      <c r="BR3" s="7" t="str">
        <f>IF(VLOOKUP($B3,'[1]Cost Analysis'!$C:$FO,107,FALSE)=0,"",VLOOKUP($B3,'[1]Cost Analysis'!$C:$FO,107,FALSE))</f>
        <v/>
      </c>
      <c r="BS3" s="7" t="str">
        <f>IF(VLOOKUP($B3,'[1]Cost Analysis'!$C:$FO,108,FALSE)=0,"",VLOOKUP($B3,'[1]Cost Analysis'!$C:$FO,108,FALSE))</f>
        <v/>
      </c>
      <c r="BT3" s="7" t="str">
        <f>IF(VLOOKUP($B3,'[1]Cost Analysis'!$C:$FO,109,FALSE)=0,"",VLOOKUP($B3,'[1]Cost Analysis'!$C:$FO,109,FALSE))</f>
        <v/>
      </c>
      <c r="BU3" s="7" t="str">
        <f>IF(VLOOKUP($B3,'[1]Cost Analysis'!$C:$FO,110,FALSE)=0,"",VLOOKUP($B3,'[1]Cost Analysis'!$C:$FO,110,FALSE))</f>
        <v/>
      </c>
      <c r="BV3" s="7" t="str">
        <f>IF(VLOOKUP($B3,'[1]Cost Analysis'!$C:$FO,111,FALSE)=0,"",VLOOKUP($B3,'[1]Cost Analysis'!$C:$FO,111,FALSE))</f>
        <v/>
      </c>
      <c r="BW3" s="7">
        <f>IF(VLOOKUP($B3,'[1]Cost Analysis'!$C:$FO,112,FALSE)=0,"",VLOOKUP($B3,'[1]Cost Analysis'!$C:$FO,112,FALSE))</f>
        <v>14844369.4</v>
      </c>
      <c r="BX3" s="7">
        <f>IF(VLOOKUP($B3,'[1]Cost Analysis'!$C:$FO,125,FALSE)=0,"",VLOOKUP($B3,'[1]Cost Analysis'!$C:$FO,125,FALSE))</f>
        <v>835098</v>
      </c>
      <c r="BY3" s="7">
        <f>IF(VLOOKUP($B3,'[1]Cost Analysis'!$C:$FO,126,FALSE)=0,"",VLOOKUP($B3,'[1]Cost Analysis'!$C:$FO,126,FALSE))</f>
        <v>1074262</v>
      </c>
      <c r="BZ3" s="7">
        <f>IF(VLOOKUP($B3,'[1]Cost Analysis'!$C:$FO,127,FALSE)=0,"",VLOOKUP($B3,'[1]Cost Analysis'!$C:$FO,127,FALSE))</f>
        <v>240000</v>
      </c>
      <c r="CA3" s="7">
        <f>IF(VLOOKUP($B3,'[1]Cost Analysis'!$C:$FO,128,FALSE)=0,"",VLOOKUP($B3,'[1]Cost Analysis'!$C:$FO,128,FALSE))</f>
        <v>140736</v>
      </c>
      <c r="CB3" s="7" t="str">
        <f>IF(VLOOKUP($B3,'[1]Cost Analysis'!$C:$FO,129,FALSE)=0,"",VLOOKUP($B3,'[1]Cost Analysis'!$C:$FO,129,FALSE))</f>
        <v/>
      </c>
      <c r="CC3" s="7">
        <f>IF(VLOOKUP($B3,'[1]Cost Analysis'!$C:$FO,130,FALSE)=0,"",VLOOKUP($B3,'[1]Cost Analysis'!$C:$FO,130,FALSE))</f>
        <v>200000</v>
      </c>
      <c r="CD3" s="7" t="str">
        <f>IF(VLOOKUP($B3,'[1]Cost Analysis'!$C:$FO,131,FALSE)=0,"",VLOOKUP($B3,'[1]Cost Analysis'!$C:$FO,131,FALSE))</f>
        <v/>
      </c>
      <c r="CE3" s="7" t="str">
        <f>IF(VLOOKUP($B3,'[1]Cost Analysis'!$C:$FO,132,FALSE)=0,"",VLOOKUP($B3,'[1]Cost Analysis'!$C:$FO,132,FALSE))</f>
        <v/>
      </c>
      <c r="CF3" s="7">
        <f>IF(VLOOKUP($B3,'[1]Cost Analysis'!$C:$FO,133,FALSE)=0,"",VLOOKUP($B3,'[1]Cost Analysis'!$C:$FO,133,FALSE))</f>
        <v>595948</v>
      </c>
      <c r="CG3" s="7">
        <f>IF(VLOOKUP($B3,'[1]Cost Analysis'!$C:$FO,134,FALSE)=0,"",VLOOKUP($B3,'[1]Cost Analysis'!$C:$FO,134,FALSE))</f>
        <v>12128463.810000001</v>
      </c>
      <c r="CH3" s="7">
        <f>IF(VLOOKUP($B3,'[1]Cost Analysis'!$C:$FO,135,FALSE)=0,"",VLOOKUP($B3,'[1]Cost Analysis'!$C:$FO,135,FALSE))</f>
        <v>15214507.770500001</v>
      </c>
      <c r="CI3" s="7">
        <f>IF(VLOOKUP($B3,'[1]Cost Analysis'!$C:$FO,136,FALSE)=0,"",VLOOKUP($B3,'[1]Cost Analysis'!$C:$FO,136,FALSE))</f>
        <v>-157700</v>
      </c>
      <c r="CJ3" s="7" t="str">
        <f>IF(VLOOKUP($B3,'[1]Cost Analysis'!$C:$FO,137,FALSE)=0,"",VLOOKUP($B3,'[1]Cost Analysis'!$C:$FO,137,FALSE))</f>
        <v/>
      </c>
      <c r="CK3" s="7" t="str">
        <f>IF(VLOOKUP($B3,'[1]Cost Analysis'!$C:$FO,138,FALSE)=0,"",VLOOKUP($B3,'[1]Cost Analysis'!$C:$FO,138,FALSE))</f>
        <v/>
      </c>
      <c r="CL3" s="7">
        <f>IF(VLOOKUP($B3,'[1]Cost Analysis'!$C:$FO,139,FALSE)=0,"",VLOOKUP($B3,'[1]Cost Analysis'!$C:$FO,139,FALSE))</f>
        <v>15056807.770500001</v>
      </c>
    </row>
    <row r="4" spans="1:90" ht="30" x14ac:dyDescent="0.25">
      <c r="A4" s="13" t="s">
        <v>31</v>
      </c>
      <c r="B4" s="13" t="s">
        <v>56</v>
      </c>
      <c r="C4" s="19" t="str">
        <f>VLOOKUP($B4,'[1]Cost Analysis'!$C:$FO,7,FALSE)</f>
        <v>Proposal</v>
      </c>
      <c r="D4" s="19" t="str">
        <f>VLOOKUP($B4,'[1]Cost Analysis'!$C:$FO,8,FALSE)</f>
        <v>Late Design</v>
      </c>
      <c r="E4" s="18">
        <f>IF(ISERROR(VLOOKUP($B4,'[1]Cost Analysis'!$C:$FO,9,FALSE)),"",VLOOKUP($B4,'[1]Cost Analysis'!$C:$FO,9,FALSE))</f>
        <v>10041995</v>
      </c>
      <c r="F4" s="17">
        <f>IF(ISERROR(VLOOKUP($B4,'[1]Cost Analysis'!$C:$FO,10,FALSE)),"",VLOOKUP($B4,'[1]Cost Analysis'!$C:$FO,10,FALSE))</f>
        <v>499.32847695291133</v>
      </c>
      <c r="G4" s="9">
        <f>IF(ISERROR(VLOOKUP($B4,'[1]Cost Analysis'!$C:$FO,12,FALSE)),"",VLOOKUP($B4,'[1]Cost Analysis'!$C:$FO,12,FALSE))</f>
        <v>490220</v>
      </c>
      <c r="H4" s="17">
        <f>IF(ISERROR(VLOOKUP($B4,'[1]Cost Analysis'!$C:$FO,13,FALSE)),"",VLOOKUP($B4,'[1]Cost Analysis'!$C:$FO,13,FALSE))</f>
        <v>24.375714782954603</v>
      </c>
      <c r="I4" s="16">
        <f>IF(ISERROR(VLOOKUP($B4,'[1]Cost Analysis'!$C:$FO,14,FALSE)),"",VLOOKUP($B4,'[1]Cost Analysis'!$C:$FO,14,FALSE))</f>
        <v>4.8816993037738017E-2</v>
      </c>
      <c r="J4" s="18">
        <f>IF(ISERROR(VLOOKUP($B4,'[1]Cost Analysis'!$C:$FO,15,FALSE)),"",VLOOKUP($B4,'[1]Cost Analysis'!$C:$FO,15,FALSE))</f>
        <v>490220</v>
      </c>
      <c r="K4" s="16">
        <f>IF(ISERROR(VLOOKUP($B4,'[1]Cost Analysis'!$C:$FO,16,FALSE)),"",VLOOKUP($B4,'[1]Cost Analysis'!$C:$FO,16,FALSE))</f>
        <v>4.8816993037738017E-2</v>
      </c>
      <c r="L4" s="17">
        <f>IF(ISERROR(VLOOKUP($B4,'[1]Cost Analysis'!$C:$FO,17,FALSE)),"",VLOOKUP($B4,'[1]Cost Analysis'!$C:$FO,17,FALSE))</f>
        <v>0</v>
      </c>
      <c r="M4" s="17">
        <f>IF(ISERROR(VLOOKUP($B4,'[1]Cost Analysis'!$C:$FO,18,FALSE)),"",VLOOKUP($B4,'[1]Cost Analysis'!$C:$FO,18,FALSE))</f>
        <v>0</v>
      </c>
      <c r="N4" s="16">
        <f>IF(ISERROR(VLOOKUP($B4,'[1]Cost Analysis'!$C:$FO,19,FALSE)),"",VLOOKUP($B4,'[1]Cost Analysis'!$C:$FO,19,FALSE))</f>
        <v>0</v>
      </c>
      <c r="O4" s="11">
        <f>IF(ISERROR(VLOOKUP($B4,'[1]Cost Analysis'!$C:$FO,36,FALSE)),"",VLOOKUP($B4,'[1]Cost Analysis'!$C:$FO,36,FALSE))</f>
        <v>277430</v>
      </c>
      <c r="P4" s="13" t="str">
        <f>IF(ISERROR(VLOOKUP($B4,'[1]Cost Analysis'!$C:$FO,37,FALSE)),"",VLOOKUP($B4,'[1]Cost Analysis'!$C:$FO,37,FALSE))</f>
        <v xml:space="preserve">Onsite Solar electric (PV) Power Purchase Agreement </v>
      </c>
      <c r="Q4" s="11">
        <f>VLOOKUP($B4,'[1]Cost Analysis'!$C:$FO,39,FALSE)</f>
        <v>20111</v>
      </c>
      <c r="R4" s="11">
        <f>VLOOKUP($B4,'[1]Cost Analysis'!$C:$FO,40,FALSE)</f>
        <v>20111</v>
      </c>
      <c r="S4" s="13">
        <f>VLOOKUP($B4,'[1]Cost Analysis'!$C:$FO,41,FALSE)</f>
        <v>1</v>
      </c>
      <c r="T4" s="13">
        <f>VLOOKUP($B4,'[1]Cost Analysis'!$C:$FO,42,FALSE)</f>
        <v>4</v>
      </c>
      <c r="U4" s="13">
        <f>VLOOKUP($B4,'[1]Cost Analysis'!$C:$FO,43,FALSE)</f>
        <v>20</v>
      </c>
      <c r="V4" s="13" t="str">
        <f>VLOOKUP($B4,'[1]Cost Analysis'!$C:$FO,44,FALSE)</f>
        <v>Phius</v>
      </c>
      <c r="W4" s="13" t="str">
        <f>VLOOKUP($B4,'[1]Cost Analysis'!$C:$FO,45,FALSE)</f>
        <v>NYC</v>
      </c>
      <c r="X4" s="15" t="str">
        <f>VLOOKUP($B4,'[1]Cost Analysis'!$C:$FO,46,FALSE)</f>
        <v>All Electric</v>
      </c>
      <c r="Y4" s="14" t="str">
        <f>VLOOKUP($B4,'[1]Cost Analysis'!$C:$FO,47,FALSE)</f>
        <v>LMI</v>
      </c>
      <c r="Z4" s="13" t="str">
        <f>VLOOKUP($B4,'[1]Cost Analysis'!$C:$FO,48,FALSE)</f>
        <v>Yes</v>
      </c>
      <c r="AA4" s="13" t="str">
        <f>VLOOKUP($B4,'[1]Cost Analysis'!$C:$FO,49,FALSE)</f>
        <v>Block and Plank</v>
      </c>
      <c r="AB4" s="13" t="str">
        <f>VLOOKUP($B4,'[1]Cost Analysis'!$C:$FO,50,FALSE)</f>
        <v>VRF - ASHP</v>
      </c>
      <c r="AC4" s="13" t="str">
        <f>VLOOKUP($B4,'[1]Cost Analysis'!$C:$FO,51,FALSE)</f>
        <v>ERV</v>
      </c>
      <c r="AD4" s="13" t="str">
        <f>VLOOKUP($B4,'[1]Cost Analysis'!$C:$FO,52,FALSE)</f>
        <v xml:space="preserve">ASHP w/ CO2 </v>
      </c>
      <c r="AE4" s="13" t="str">
        <f>VLOOKUP($B4,'[1]Cost Analysis'!$C:$FO,53,FALSE)</f>
        <v>Yes</v>
      </c>
      <c r="AF4" s="13" t="str">
        <f>VLOOKUP($B4,'[1]Cost Analysis'!$C:$FO,54,FALSE)</f>
        <v>Mid Rise</v>
      </c>
      <c r="AG4" s="13" t="str">
        <f>IF(VLOOKUP($B4,'[1]Cost Analysis'!$C:$FO,55,FALSE)="PV","Yes","No")</f>
        <v>Yes</v>
      </c>
      <c r="AH4" s="13" t="str">
        <f>VLOOKUP($B4,'[1]Cost Analysis'!$C:$FO,57,FALSE)</f>
        <v>No</v>
      </c>
      <c r="AI4" s="13" t="str">
        <f>VLOOKUP($B4,'[1]Cost Analysis'!$C:$FO,58,FALSE)</f>
        <v>No</v>
      </c>
      <c r="AJ4" s="13" t="str">
        <f>VLOOKUP($B4,'[1]Cost Analysis'!$C:$FO,59,FALSE)</f>
        <v>No</v>
      </c>
      <c r="AK4" s="13">
        <f>VLOOKUP($B4,'[1]Cost Analysis'!$C:$FO,60,FALSE)</f>
        <v>4</v>
      </c>
      <c r="AL4" s="13" t="str">
        <f>VLOOKUP($B4,'[1]Cost Analysis'!$C:$FO,61,FALSE)</f>
        <v>No</v>
      </c>
      <c r="AM4" s="13" t="str">
        <f>VLOOKUP($B4,'[1]Cost Analysis'!$C:$FO,62,FALSE)</f>
        <v>NC</v>
      </c>
      <c r="AN4" s="12" t="str">
        <f>VLOOKUP($B4,'[1]Cost Analysis'!$C:$FO,63,FALSE)</f>
        <v>2016 ECCC of NYS</v>
      </c>
      <c r="AO4" s="12" t="str">
        <f>VLOOKUP($B4,'[1]Cost Analysis'!$C:$FO,67,FALSE)</f>
        <v>Yes</v>
      </c>
      <c r="AP4" s="12" t="str">
        <f>VLOOKUP($B4,'[1]Cost Analysis'!$C:$FO,69,FALSE)</f>
        <v>No</v>
      </c>
      <c r="AQ4" s="11">
        <f>VLOOKUP($B4,'[1]Cost Analysis'!$C:$FO,74,FALSE)</f>
        <v>277430</v>
      </c>
      <c r="AR4" s="11">
        <f>VLOOKUP($B4,'[1]Cost Analysis'!$C:$FO,75,FALSE)</f>
        <v>0</v>
      </c>
      <c r="AS4" s="10">
        <f>IF(ISERROR(VLOOKUP($B4,'[1]Cost Analysis'!$C:$FO,76,FALSE)),"",VLOOKUP($B4,'[1]Cost Analysis'!$C:$FO,76,FALSE))</f>
        <v>1</v>
      </c>
      <c r="AT4" s="9">
        <f>VLOOKUP($B4,'[1]Cost Analysis'!$C:$FO,78,FALSE)</f>
        <v>4</v>
      </c>
      <c r="AU4" s="9">
        <f>VLOOKUP($B4,'[1]Cost Analysis'!$C:$FO,82,FALSE)</f>
        <v>1.9889612649793645E-4</v>
      </c>
      <c r="AV4" s="8">
        <f>VLOOKUP($B4,'[1]Cost Analysis'!$C:$FO,83,FALSE)</f>
        <v>0</v>
      </c>
      <c r="AW4" s="7" t="str">
        <f>IF(VLOOKUP($B4,'[1]Cost Analysis'!$C:$FO,86,FALSE)=0,"",VLOOKUP($B4,'[1]Cost Analysis'!$C:$FO,86,FALSE))</f>
        <v/>
      </c>
      <c r="AX4" s="7" t="str">
        <f>IF(VLOOKUP($B4,'[1]Cost Analysis'!$C:$FO,87,FALSE)=0,"",VLOOKUP($B4,'[1]Cost Analysis'!$C:$FO,87,FALSE))</f>
        <v/>
      </c>
      <c r="AY4" s="7" t="str">
        <f>IF(VLOOKUP($B4,'[1]Cost Analysis'!$C:$FO,88,FALSE)=0,"",VLOOKUP($B4,'[1]Cost Analysis'!$C:$FO,88,FALSE))</f>
        <v/>
      </c>
      <c r="AZ4" s="7" t="str">
        <f>IF(VLOOKUP($B4,'[1]Cost Analysis'!$C:$FO,89,FALSE)=0,"",VLOOKUP($B4,'[1]Cost Analysis'!$C:$FO,89,FALSE))</f>
        <v/>
      </c>
      <c r="BA4" s="7" t="str">
        <f>IF(VLOOKUP($B4,'[1]Cost Analysis'!$C:$FO,90,FALSE)=0,"",VLOOKUP($B4,'[1]Cost Analysis'!$C:$FO,90,FALSE))</f>
        <v/>
      </c>
      <c r="BB4" s="7" t="str">
        <f>IF(VLOOKUP($B4,'[1]Cost Analysis'!$C:$FO,91,FALSE)=0,"",VLOOKUP($B4,'[1]Cost Analysis'!$C:$FO,91,FALSE))</f>
        <v/>
      </c>
      <c r="BC4" s="7" t="str">
        <f>IF(VLOOKUP($B4,'[1]Cost Analysis'!$C:$FO,92,FALSE)=0,"",VLOOKUP($B4,'[1]Cost Analysis'!$C:$FO,92,FALSE))</f>
        <v/>
      </c>
      <c r="BD4" s="7" t="str">
        <f>IF(VLOOKUP($B4,'[1]Cost Analysis'!$C:$FO,93,FALSE)=0,"",VLOOKUP($B4,'[1]Cost Analysis'!$C:$FO,93,FALSE))</f>
        <v/>
      </c>
      <c r="BE4" s="7" t="str">
        <f>IF(VLOOKUP($B4,'[1]Cost Analysis'!$C:$FO,94,FALSE)=0,"",VLOOKUP($B4,'[1]Cost Analysis'!$C:$FO,94,FALSE))</f>
        <v/>
      </c>
      <c r="BF4" s="7" t="str">
        <f>IF(VLOOKUP($B4,'[1]Cost Analysis'!$C:$FO,95,FALSE)=0,"",VLOOKUP($B4,'[1]Cost Analysis'!$C:$FO,95,FALSE))</f>
        <v/>
      </c>
      <c r="BG4" s="7" t="str">
        <f>IF(VLOOKUP($B4,'[1]Cost Analysis'!$C:$FO,96,FALSE)=0,"",VLOOKUP($B4,'[1]Cost Analysis'!$C:$FO,96,FALSE))</f>
        <v/>
      </c>
      <c r="BH4" s="7" t="str">
        <f>IF(VLOOKUP($B4,'[1]Cost Analysis'!$C:$FO,97,FALSE)=0,"",VLOOKUP($B4,'[1]Cost Analysis'!$C:$FO,97,FALSE))</f>
        <v/>
      </c>
      <c r="BI4" s="7" t="str">
        <f>IF(VLOOKUP($B4,'[1]Cost Analysis'!$C:$FO,98,FALSE)=0,"",VLOOKUP($B4,'[1]Cost Analysis'!$C:$FO,98,FALSE))</f>
        <v/>
      </c>
      <c r="BJ4" s="7" t="str">
        <f>IF(VLOOKUP($B4,'[1]Cost Analysis'!$C:$FO,99,FALSE)=0,"",VLOOKUP($B4,'[1]Cost Analysis'!$C:$FO,99,FALSE))</f>
        <v/>
      </c>
      <c r="BK4" s="7" t="str">
        <f>IF(VLOOKUP($B4,'[1]Cost Analysis'!$C:$FO,100,FALSE)=0,"",VLOOKUP($B4,'[1]Cost Analysis'!$C:$FO,100,FALSE))</f>
        <v/>
      </c>
      <c r="BL4" s="7" t="str">
        <f>IF(VLOOKUP($B4,'[1]Cost Analysis'!$C:$FO,101,FALSE)=0,"",VLOOKUP($B4,'[1]Cost Analysis'!$C:$FO,101,FALSE))</f>
        <v/>
      </c>
      <c r="BM4" s="7" t="str">
        <f>IF(VLOOKUP($B4,'[1]Cost Analysis'!$C:$FO,102,FALSE)=0,"",VLOOKUP($B4,'[1]Cost Analysis'!$C:$FO,102,FALSE))</f>
        <v/>
      </c>
      <c r="BN4" s="7" t="str">
        <f>IF(VLOOKUP($B4,'[1]Cost Analysis'!$C:$FO,103,FALSE)=0,"",VLOOKUP($B4,'[1]Cost Analysis'!$C:$FO,103,FALSE))</f>
        <v/>
      </c>
      <c r="BO4" s="7" t="str">
        <f>IF(VLOOKUP($B4,'[1]Cost Analysis'!$C:$FO,104,FALSE)=0,"",VLOOKUP($B4,'[1]Cost Analysis'!$C:$FO,104,FALSE))</f>
        <v/>
      </c>
      <c r="BP4" s="7" t="str">
        <f>IF(VLOOKUP($B4,'[1]Cost Analysis'!$C:$FO,105,FALSE)=0,"",VLOOKUP($B4,'[1]Cost Analysis'!$C:$FO,105,FALSE))</f>
        <v/>
      </c>
      <c r="BQ4" s="7" t="str">
        <f>IF(VLOOKUP($B4,'[1]Cost Analysis'!$C:$FO,106,FALSE)=0,"",VLOOKUP($B4,'[1]Cost Analysis'!$C:$FO,106,FALSE))</f>
        <v/>
      </c>
      <c r="BR4" s="7" t="str">
        <f>IF(VLOOKUP($B4,'[1]Cost Analysis'!$C:$FO,107,FALSE)=0,"",VLOOKUP($B4,'[1]Cost Analysis'!$C:$FO,107,FALSE))</f>
        <v/>
      </c>
      <c r="BS4" s="7" t="str">
        <f>IF(VLOOKUP($B4,'[1]Cost Analysis'!$C:$FO,108,FALSE)=0,"",VLOOKUP($B4,'[1]Cost Analysis'!$C:$FO,108,FALSE))</f>
        <v/>
      </c>
      <c r="BT4" s="7" t="str">
        <f>IF(VLOOKUP($B4,'[1]Cost Analysis'!$C:$FO,109,FALSE)=0,"",VLOOKUP($B4,'[1]Cost Analysis'!$C:$FO,109,FALSE))</f>
        <v/>
      </c>
      <c r="BU4" s="7" t="str">
        <f>IF(VLOOKUP($B4,'[1]Cost Analysis'!$C:$FO,110,FALSE)=0,"",VLOOKUP($B4,'[1]Cost Analysis'!$C:$FO,110,FALSE))</f>
        <v/>
      </c>
      <c r="BV4" s="7" t="str">
        <f>IF(VLOOKUP($B4,'[1]Cost Analysis'!$C:$FO,111,FALSE)=0,"",VLOOKUP($B4,'[1]Cost Analysis'!$C:$FO,111,FALSE))</f>
        <v/>
      </c>
      <c r="BW4" s="7" t="str">
        <f>IF(VLOOKUP($B4,'[1]Cost Analysis'!$C:$FO,112,FALSE)=0,"",VLOOKUP($B4,'[1]Cost Analysis'!$C:$FO,112,FALSE))</f>
        <v/>
      </c>
      <c r="BX4" s="7" t="str">
        <f>IF(VLOOKUP($B4,'[1]Cost Analysis'!$C:$FO,125,FALSE)=0,"",VLOOKUP($B4,'[1]Cost Analysis'!$C:$FO,125,FALSE))</f>
        <v/>
      </c>
      <c r="BY4" s="7" t="str">
        <f>IF(VLOOKUP($B4,'[1]Cost Analysis'!$C:$FO,126,FALSE)=0,"",VLOOKUP($B4,'[1]Cost Analysis'!$C:$FO,126,FALSE))</f>
        <v/>
      </c>
      <c r="BZ4" s="7" t="str">
        <f>IF(VLOOKUP($B4,'[1]Cost Analysis'!$C:$FO,127,FALSE)=0,"",VLOOKUP($B4,'[1]Cost Analysis'!$C:$FO,127,FALSE))</f>
        <v/>
      </c>
      <c r="CA4" s="7" t="str">
        <f>IF(VLOOKUP($B4,'[1]Cost Analysis'!$C:$FO,128,FALSE)=0,"",VLOOKUP($B4,'[1]Cost Analysis'!$C:$FO,128,FALSE))</f>
        <v/>
      </c>
      <c r="CB4" s="7" t="str">
        <f>IF(VLOOKUP($B4,'[1]Cost Analysis'!$C:$FO,129,FALSE)=0,"",VLOOKUP($B4,'[1]Cost Analysis'!$C:$FO,129,FALSE))</f>
        <v/>
      </c>
      <c r="CC4" s="7" t="str">
        <f>IF(VLOOKUP($B4,'[1]Cost Analysis'!$C:$FO,130,FALSE)=0,"",VLOOKUP($B4,'[1]Cost Analysis'!$C:$FO,130,FALSE))</f>
        <v/>
      </c>
      <c r="CD4" s="7" t="str">
        <f>IF(VLOOKUP($B4,'[1]Cost Analysis'!$C:$FO,131,FALSE)=0,"",VLOOKUP($B4,'[1]Cost Analysis'!$C:$FO,131,FALSE))</f>
        <v/>
      </c>
      <c r="CE4" s="7" t="str">
        <f>IF(VLOOKUP($B4,'[1]Cost Analysis'!$C:$FO,132,FALSE)=0,"",VLOOKUP($B4,'[1]Cost Analysis'!$C:$FO,132,FALSE))</f>
        <v/>
      </c>
      <c r="CF4" s="7" t="str">
        <f>IF(VLOOKUP($B4,'[1]Cost Analysis'!$C:$FO,133,FALSE)=0,"",VLOOKUP($B4,'[1]Cost Analysis'!$C:$FO,133,FALSE))</f>
        <v/>
      </c>
      <c r="CG4" s="7" t="str">
        <f>IF(VLOOKUP($B4,'[1]Cost Analysis'!$C:$FO,134,FALSE)=0,"",VLOOKUP($B4,'[1]Cost Analysis'!$C:$FO,134,FALSE))</f>
        <v/>
      </c>
      <c r="CH4" s="7" t="str">
        <f>IF(VLOOKUP($B4,'[1]Cost Analysis'!$C:$FO,135,FALSE)=0,"",VLOOKUP($B4,'[1]Cost Analysis'!$C:$FO,135,FALSE))</f>
        <v/>
      </c>
      <c r="CI4" s="7" t="str">
        <f>IF(VLOOKUP($B4,'[1]Cost Analysis'!$C:$FO,136,FALSE)=0,"",VLOOKUP($B4,'[1]Cost Analysis'!$C:$FO,136,FALSE))</f>
        <v/>
      </c>
      <c r="CJ4" s="7" t="str">
        <f>IF(VLOOKUP($B4,'[1]Cost Analysis'!$C:$FO,137,FALSE)=0,"",VLOOKUP($B4,'[1]Cost Analysis'!$C:$FO,137,FALSE))</f>
        <v/>
      </c>
      <c r="CK4" s="7" t="str">
        <f>IF(VLOOKUP($B4,'[1]Cost Analysis'!$C:$FO,138,FALSE)=0,"",VLOOKUP($B4,'[1]Cost Analysis'!$C:$FO,138,FALSE))</f>
        <v/>
      </c>
      <c r="CL4" s="7" t="str">
        <f>IF(VLOOKUP($B4,'[1]Cost Analysis'!$C:$FO,139,FALSE)=0,"",VLOOKUP($B4,'[1]Cost Analysis'!$C:$FO,139,FALSE))</f>
        <v/>
      </c>
    </row>
    <row r="5" spans="1:90" ht="30" x14ac:dyDescent="0.25">
      <c r="A5" s="13" t="s">
        <v>31</v>
      </c>
      <c r="B5" s="13" t="s">
        <v>55</v>
      </c>
      <c r="C5" s="19" t="str">
        <f>VLOOKUP($B5,'[1]Cost Analysis'!$C:$FO,7,FALSE)</f>
        <v>Proposal</v>
      </c>
      <c r="D5" s="19" t="str">
        <f>VLOOKUP($B5,'[1]Cost Analysis'!$C:$FO,8,FALSE)</f>
        <v>Early Design</v>
      </c>
      <c r="E5" s="18">
        <f>IF(ISERROR(VLOOKUP($B5,'[1]Cost Analysis'!$C:$FO,9,FALSE)),"",VLOOKUP($B5,'[1]Cost Analysis'!$C:$FO,9,FALSE))</f>
        <v>2086824</v>
      </c>
      <c r="F5" s="17">
        <f>IF(ISERROR(VLOOKUP($B5,'[1]Cost Analysis'!$C:$FO,10,FALSE)),"",VLOOKUP($B5,'[1]Cost Analysis'!$C:$FO,10,FALSE))</f>
        <v>467.58323997311226</v>
      </c>
      <c r="G5" s="9">
        <f>IF(ISERROR(VLOOKUP($B5,'[1]Cost Analysis'!$C:$FO,12,FALSE)),"",VLOOKUP($B5,'[1]Cost Analysis'!$C:$FO,12,FALSE))</f>
        <v>104341.20000000001</v>
      </c>
      <c r="H5" s="17">
        <f>IF(ISERROR(VLOOKUP($B5,'[1]Cost Analysis'!$C:$FO,13,FALSE)),"",VLOOKUP($B5,'[1]Cost Analysis'!$C:$FO,13,FALSE))</f>
        <v>23.379161998655615</v>
      </c>
      <c r="I5" s="16">
        <f>IF(ISERROR(VLOOKUP($B5,'[1]Cost Analysis'!$C:$FO,14,FALSE)),"",VLOOKUP($B5,'[1]Cost Analysis'!$C:$FO,14,FALSE))</f>
        <v>0.05</v>
      </c>
      <c r="J5" s="18">
        <f>IF(ISERROR(VLOOKUP($B5,'[1]Cost Analysis'!$C:$FO,15,FALSE)),"",VLOOKUP($B5,'[1]Cost Analysis'!$C:$FO,15,FALSE))</f>
        <v>97260</v>
      </c>
      <c r="K5" s="16">
        <f>IF(ISERROR(VLOOKUP($B5,'[1]Cost Analysis'!$C:$FO,16,FALSE)),"",VLOOKUP($B5,'[1]Cost Analysis'!$C:$FO,16,FALSE))</f>
        <v>4.6606709526054904E-2</v>
      </c>
      <c r="L5" s="17">
        <f>IF(ISERROR(VLOOKUP($B5,'[1]Cost Analysis'!$C:$FO,17,FALSE)),"",VLOOKUP($B5,'[1]Cost Analysis'!$C:$FO,17,FALSE))</f>
        <v>7081.2000000000116</v>
      </c>
      <c r="M5" s="17">
        <f>IF(ISERROR(VLOOKUP($B5,'[1]Cost Analysis'!$C:$FO,18,FALSE)),"",VLOOKUP($B5,'[1]Cost Analysis'!$C:$FO,18,FALSE))</f>
        <v>1.5866457539771481</v>
      </c>
      <c r="N5" s="16">
        <f>IF(ISERROR(VLOOKUP($B5,'[1]Cost Analysis'!$C:$FO,19,FALSE)),"",VLOOKUP($B5,'[1]Cost Analysis'!$C:$FO,19,FALSE))</f>
        <v>3.3932904739451012E-3</v>
      </c>
      <c r="O5" s="11">
        <f>IF(ISERROR(VLOOKUP($B5,'[1]Cost Analysis'!$C:$FO,36,FALSE)),"",VLOOKUP($B5,'[1]Cost Analysis'!$C:$FO,36,FALSE))</f>
        <v>87531</v>
      </c>
      <c r="P5" s="13" t="str">
        <f>IF(ISERROR(VLOOKUP($B5,'[1]Cost Analysis'!$C:$FO,37,FALSE)),"",VLOOKUP($B5,'[1]Cost Analysis'!$C:$FO,37,FALSE))</f>
        <v>Onsite Solar electric (PV) Owned</v>
      </c>
      <c r="Q5" s="11">
        <f>VLOOKUP($B5,'[1]Cost Analysis'!$C:$FO,39,FALSE)</f>
        <v>4463</v>
      </c>
      <c r="R5" s="11">
        <f>VLOOKUP($B5,'[1]Cost Analysis'!$C:$FO,40,FALSE)</f>
        <v>4463</v>
      </c>
      <c r="S5" s="13">
        <f>VLOOKUP($B5,'[1]Cost Analysis'!$C:$FO,41,FALSE)</f>
        <v>1</v>
      </c>
      <c r="T5" s="13">
        <f>VLOOKUP($B5,'[1]Cost Analysis'!$C:$FO,42,FALSE)</f>
        <v>4</v>
      </c>
      <c r="U5" s="13">
        <f>VLOOKUP($B5,'[1]Cost Analysis'!$C:$FO,43,FALSE)</f>
        <v>4</v>
      </c>
      <c r="V5" s="13" t="str">
        <f>VLOOKUP($B5,'[1]Cost Analysis'!$C:$FO,44,FALSE)</f>
        <v>PHI</v>
      </c>
      <c r="W5" s="13" t="str">
        <f>VLOOKUP($B5,'[1]Cost Analysis'!$C:$FO,45,FALSE)</f>
        <v>NYC</v>
      </c>
      <c r="X5" s="15" t="str">
        <f>VLOOKUP($B5,'[1]Cost Analysis'!$C:$FO,46,FALSE)</f>
        <v>All Electric</v>
      </c>
      <c r="Y5" s="14" t="str">
        <f>VLOOKUP($B5,'[1]Cost Analysis'!$C:$FO,47,FALSE)</f>
        <v>Market Rate</v>
      </c>
      <c r="Z5" s="13" t="str">
        <f>VLOOKUP($B5,'[1]Cost Analysis'!$C:$FO,48,FALSE)</f>
        <v>Yes</v>
      </c>
      <c r="AA5" s="13" t="str">
        <f>VLOOKUP($B5,'[1]Cost Analysis'!$C:$FO,49,FALSE)</f>
        <v>Block and Steel Joists</v>
      </c>
      <c r="AB5" s="13" t="str">
        <f>VLOOKUP($B5,'[1]Cost Analysis'!$C:$FO,50,FALSE)</f>
        <v>VRF - ASHP</v>
      </c>
      <c r="AC5" s="13" t="str">
        <f>VLOOKUP($B5,'[1]Cost Analysis'!$C:$FO,51,FALSE)</f>
        <v>ERV</v>
      </c>
      <c r="AD5" s="13" t="str">
        <f>VLOOKUP($B5,'[1]Cost Analysis'!$C:$FO,52,FALSE)</f>
        <v xml:space="preserve">ASHP w/ CO2 </v>
      </c>
      <c r="AE5" s="13" t="str">
        <f>VLOOKUP($B5,'[1]Cost Analysis'!$C:$FO,53,FALSE)</f>
        <v>Yes</v>
      </c>
      <c r="AF5" s="13" t="str">
        <f>VLOOKUP($B5,'[1]Cost Analysis'!$C:$FO,54,FALSE)</f>
        <v>Mid Rise</v>
      </c>
      <c r="AG5" s="13" t="str">
        <f>IF(VLOOKUP($B5,'[1]Cost Analysis'!$C:$FO,55,FALSE)="PV","Yes","No")</f>
        <v>Yes</v>
      </c>
      <c r="AH5" s="13" t="str">
        <f>VLOOKUP($B5,'[1]Cost Analysis'!$C:$FO,57,FALSE)</f>
        <v>No</v>
      </c>
      <c r="AI5" s="13" t="str">
        <f>VLOOKUP($B5,'[1]Cost Analysis'!$C:$FO,58,FALSE)</f>
        <v>No</v>
      </c>
      <c r="AJ5" s="13" t="str">
        <f>VLOOKUP($B5,'[1]Cost Analysis'!$C:$FO,59,FALSE)</f>
        <v>No</v>
      </c>
      <c r="AK5" s="13">
        <f>VLOOKUP($B5,'[1]Cost Analysis'!$C:$FO,60,FALSE)</f>
        <v>4</v>
      </c>
      <c r="AL5" s="13" t="str">
        <f>VLOOKUP($B5,'[1]Cost Analysis'!$C:$FO,61,FALSE)</f>
        <v>No</v>
      </c>
      <c r="AM5" s="13" t="str">
        <f>VLOOKUP($B5,'[1]Cost Analysis'!$C:$FO,62,FALSE)</f>
        <v>NC</v>
      </c>
      <c r="AN5" s="12" t="str">
        <f>VLOOKUP($B5,'[1]Cost Analysis'!$C:$FO,63,FALSE)</f>
        <v>2016 ECCC of NYS</v>
      </c>
      <c r="AO5" s="12" t="str">
        <f>VLOOKUP($B5,'[1]Cost Analysis'!$C:$FO,67,FALSE)</f>
        <v>No</v>
      </c>
      <c r="AP5" s="12" t="str">
        <f>VLOOKUP($B5,'[1]Cost Analysis'!$C:$FO,69,FALSE)</f>
        <v>No</v>
      </c>
      <c r="AQ5" s="11">
        <f>VLOOKUP($B5,'[1]Cost Analysis'!$C:$FO,74,FALSE)</f>
        <v>100503</v>
      </c>
      <c r="AR5" s="11">
        <f>VLOOKUP($B5,'[1]Cost Analysis'!$C:$FO,75,FALSE)</f>
        <v>12972</v>
      </c>
      <c r="AS5" s="10">
        <f>IF(ISERROR(VLOOKUP($B5,'[1]Cost Analysis'!$C:$FO,76,FALSE)),"",VLOOKUP($B5,'[1]Cost Analysis'!$C:$FO,76,FALSE))</f>
        <v>0.87092922599325395</v>
      </c>
      <c r="AT5" s="9">
        <f>VLOOKUP($B5,'[1]Cost Analysis'!$C:$FO,78,FALSE)</f>
        <v>993.38</v>
      </c>
      <c r="AU5" s="9">
        <f>VLOOKUP($B5,'[1]Cost Analysis'!$C:$FO,82,FALSE)</f>
        <v>0.22258122339233699</v>
      </c>
      <c r="AV5" s="8">
        <f>VLOOKUP($B5,'[1]Cost Analysis'!$C:$FO,83,FALSE)</f>
        <v>2.9065650907461347</v>
      </c>
      <c r="AW5" s="7" t="str">
        <f>IF(VLOOKUP($B5,'[1]Cost Analysis'!$C:$FO,86,FALSE)=0,"",VLOOKUP($B5,'[1]Cost Analysis'!$C:$FO,86,FALSE))</f>
        <v/>
      </c>
      <c r="AX5" s="7" t="str">
        <f>IF(VLOOKUP($B5,'[1]Cost Analysis'!$C:$FO,87,FALSE)=0,"",VLOOKUP($B5,'[1]Cost Analysis'!$C:$FO,87,FALSE))</f>
        <v/>
      </c>
      <c r="AY5" s="7" t="str">
        <f>IF(VLOOKUP($B5,'[1]Cost Analysis'!$C:$FO,88,FALSE)=0,"",VLOOKUP($B5,'[1]Cost Analysis'!$C:$FO,88,FALSE))</f>
        <v/>
      </c>
      <c r="AZ5" s="7" t="str">
        <f>IF(VLOOKUP($B5,'[1]Cost Analysis'!$C:$FO,89,FALSE)=0,"",VLOOKUP($B5,'[1]Cost Analysis'!$C:$FO,89,FALSE))</f>
        <v/>
      </c>
      <c r="BA5" s="7" t="str">
        <f>IF(VLOOKUP($B5,'[1]Cost Analysis'!$C:$FO,90,FALSE)=0,"",VLOOKUP($B5,'[1]Cost Analysis'!$C:$FO,90,FALSE))</f>
        <v/>
      </c>
      <c r="BB5" s="7" t="str">
        <f>IF(VLOOKUP($B5,'[1]Cost Analysis'!$C:$FO,91,FALSE)=0,"",VLOOKUP($B5,'[1]Cost Analysis'!$C:$FO,91,FALSE))</f>
        <v/>
      </c>
      <c r="BC5" s="7" t="str">
        <f>IF(VLOOKUP($B5,'[1]Cost Analysis'!$C:$FO,92,FALSE)=0,"",VLOOKUP($B5,'[1]Cost Analysis'!$C:$FO,92,FALSE))</f>
        <v/>
      </c>
      <c r="BD5" s="7" t="str">
        <f>IF(VLOOKUP($B5,'[1]Cost Analysis'!$C:$FO,93,FALSE)=0,"",VLOOKUP($B5,'[1]Cost Analysis'!$C:$FO,93,FALSE))</f>
        <v/>
      </c>
      <c r="BE5" s="7" t="str">
        <f>IF(VLOOKUP($B5,'[1]Cost Analysis'!$C:$FO,94,FALSE)=0,"",VLOOKUP($B5,'[1]Cost Analysis'!$C:$FO,94,FALSE))</f>
        <v/>
      </c>
      <c r="BF5" s="7" t="str">
        <f>IF(VLOOKUP($B5,'[1]Cost Analysis'!$C:$FO,95,FALSE)=0,"",VLOOKUP($B5,'[1]Cost Analysis'!$C:$FO,95,FALSE))</f>
        <v/>
      </c>
      <c r="BG5" s="7" t="str">
        <f>IF(VLOOKUP($B5,'[1]Cost Analysis'!$C:$FO,96,FALSE)=0,"",VLOOKUP($B5,'[1]Cost Analysis'!$C:$FO,96,FALSE))</f>
        <v/>
      </c>
      <c r="BH5" s="7" t="str">
        <f>IF(VLOOKUP($B5,'[1]Cost Analysis'!$C:$FO,97,FALSE)=0,"",VLOOKUP($B5,'[1]Cost Analysis'!$C:$FO,97,FALSE))</f>
        <v/>
      </c>
      <c r="BI5" s="7" t="str">
        <f>IF(VLOOKUP($B5,'[1]Cost Analysis'!$C:$FO,98,FALSE)=0,"",VLOOKUP($B5,'[1]Cost Analysis'!$C:$FO,98,FALSE))</f>
        <v/>
      </c>
      <c r="BJ5" s="7" t="str">
        <f>IF(VLOOKUP($B5,'[1]Cost Analysis'!$C:$FO,99,FALSE)=0,"",VLOOKUP($B5,'[1]Cost Analysis'!$C:$FO,99,FALSE))</f>
        <v/>
      </c>
      <c r="BK5" s="7" t="str">
        <f>IF(VLOOKUP($B5,'[1]Cost Analysis'!$C:$FO,100,FALSE)=0,"",VLOOKUP($B5,'[1]Cost Analysis'!$C:$FO,100,FALSE))</f>
        <v/>
      </c>
      <c r="BL5" s="7" t="str">
        <f>IF(VLOOKUP($B5,'[1]Cost Analysis'!$C:$FO,101,FALSE)=0,"",VLOOKUP($B5,'[1]Cost Analysis'!$C:$FO,101,FALSE))</f>
        <v/>
      </c>
      <c r="BM5" s="7" t="str">
        <f>IF(VLOOKUP($B5,'[1]Cost Analysis'!$C:$FO,102,FALSE)=0,"",VLOOKUP($B5,'[1]Cost Analysis'!$C:$FO,102,FALSE))</f>
        <v/>
      </c>
      <c r="BN5" s="7" t="str">
        <f>IF(VLOOKUP($B5,'[1]Cost Analysis'!$C:$FO,103,FALSE)=0,"",VLOOKUP($B5,'[1]Cost Analysis'!$C:$FO,103,FALSE))</f>
        <v/>
      </c>
      <c r="BO5" s="7" t="str">
        <f>IF(VLOOKUP($B5,'[1]Cost Analysis'!$C:$FO,104,FALSE)=0,"",VLOOKUP($B5,'[1]Cost Analysis'!$C:$FO,104,FALSE))</f>
        <v/>
      </c>
      <c r="BP5" s="7" t="str">
        <f>IF(VLOOKUP($B5,'[1]Cost Analysis'!$C:$FO,105,FALSE)=0,"",VLOOKUP($B5,'[1]Cost Analysis'!$C:$FO,105,FALSE))</f>
        <v/>
      </c>
      <c r="BQ5" s="7" t="str">
        <f>IF(VLOOKUP($B5,'[1]Cost Analysis'!$C:$FO,106,FALSE)=0,"",VLOOKUP($B5,'[1]Cost Analysis'!$C:$FO,106,FALSE))</f>
        <v/>
      </c>
      <c r="BR5" s="7" t="str">
        <f>IF(VLOOKUP($B5,'[1]Cost Analysis'!$C:$FO,107,FALSE)=0,"",VLOOKUP($B5,'[1]Cost Analysis'!$C:$FO,107,FALSE))</f>
        <v/>
      </c>
      <c r="BS5" s="7" t="str">
        <f>IF(VLOOKUP($B5,'[1]Cost Analysis'!$C:$FO,108,FALSE)=0,"",VLOOKUP($B5,'[1]Cost Analysis'!$C:$FO,108,FALSE))</f>
        <v/>
      </c>
      <c r="BT5" s="7" t="str">
        <f>IF(VLOOKUP($B5,'[1]Cost Analysis'!$C:$FO,109,FALSE)=0,"",VLOOKUP($B5,'[1]Cost Analysis'!$C:$FO,109,FALSE))</f>
        <v/>
      </c>
      <c r="BU5" s="7" t="str">
        <f>IF(VLOOKUP($B5,'[1]Cost Analysis'!$C:$FO,110,FALSE)=0,"",VLOOKUP($B5,'[1]Cost Analysis'!$C:$FO,110,FALSE))</f>
        <v/>
      </c>
      <c r="BV5" s="7" t="str">
        <f>IF(VLOOKUP($B5,'[1]Cost Analysis'!$C:$FO,111,FALSE)=0,"",VLOOKUP($B5,'[1]Cost Analysis'!$C:$FO,111,FALSE))</f>
        <v/>
      </c>
      <c r="BW5" s="7" t="str">
        <f>IF(VLOOKUP($B5,'[1]Cost Analysis'!$C:$FO,112,FALSE)=0,"",VLOOKUP($B5,'[1]Cost Analysis'!$C:$FO,112,FALSE))</f>
        <v/>
      </c>
      <c r="BX5" s="7" t="str">
        <f>IF(VLOOKUP($B5,'[1]Cost Analysis'!$C:$FO,125,FALSE)=0,"",VLOOKUP($B5,'[1]Cost Analysis'!$C:$FO,125,FALSE))</f>
        <v/>
      </c>
      <c r="BY5" s="7" t="str">
        <f>IF(VLOOKUP($B5,'[1]Cost Analysis'!$C:$FO,126,FALSE)=0,"",VLOOKUP($B5,'[1]Cost Analysis'!$C:$FO,126,FALSE))</f>
        <v/>
      </c>
      <c r="BZ5" s="7" t="str">
        <f>IF(VLOOKUP($B5,'[1]Cost Analysis'!$C:$FO,127,FALSE)=0,"",VLOOKUP($B5,'[1]Cost Analysis'!$C:$FO,127,FALSE))</f>
        <v/>
      </c>
      <c r="CA5" s="7" t="str">
        <f>IF(VLOOKUP($B5,'[1]Cost Analysis'!$C:$FO,128,FALSE)=0,"",VLOOKUP($B5,'[1]Cost Analysis'!$C:$FO,128,FALSE))</f>
        <v/>
      </c>
      <c r="CB5" s="7" t="str">
        <f>IF(VLOOKUP($B5,'[1]Cost Analysis'!$C:$FO,129,FALSE)=0,"",VLOOKUP($B5,'[1]Cost Analysis'!$C:$FO,129,FALSE))</f>
        <v/>
      </c>
      <c r="CC5" s="7" t="str">
        <f>IF(VLOOKUP($B5,'[1]Cost Analysis'!$C:$FO,130,FALSE)=0,"",VLOOKUP($B5,'[1]Cost Analysis'!$C:$FO,130,FALSE))</f>
        <v/>
      </c>
      <c r="CD5" s="7" t="str">
        <f>IF(VLOOKUP($B5,'[1]Cost Analysis'!$C:$FO,131,FALSE)=0,"",VLOOKUP($B5,'[1]Cost Analysis'!$C:$FO,131,FALSE))</f>
        <v/>
      </c>
      <c r="CE5" s="7" t="str">
        <f>IF(VLOOKUP($B5,'[1]Cost Analysis'!$C:$FO,132,FALSE)=0,"",VLOOKUP($B5,'[1]Cost Analysis'!$C:$FO,132,FALSE))</f>
        <v/>
      </c>
      <c r="CF5" s="7" t="str">
        <f>IF(VLOOKUP($B5,'[1]Cost Analysis'!$C:$FO,133,FALSE)=0,"",VLOOKUP($B5,'[1]Cost Analysis'!$C:$FO,133,FALSE))</f>
        <v/>
      </c>
      <c r="CG5" s="7" t="str">
        <f>IF(VLOOKUP($B5,'[1]Cost Analysis'!$C:$FO,134,FALSE)=0,"",VLOOKUP($B5,'[1]Cost Analysis'!$C:$FO,134,FALSE))</f>
        <v/>
      </c>
      <c r="CH5" s="7" t="str">
        <f>IF(VLOOKUP($B5,'[1]Cost Analysis'!$C:$FO,135,FALSE)=0,"",VLOOKUP($B5,'[1]Cost Analysis'!$C:$FO,135,FALSE))</f>
        <v/>
      </c>
      <c r="CI5" s="7" t="str">
        <f>IF(VLOOKUP($B5,'[1]Cost Analysis'!$C:$FO,136,FALSE)=0,"",VLOOKUP($B5,'[1]Cost Analysis'!$C:$FO,136,FALSE))</f>
        <v/>
      </c>
      <c r="CJ5" s="7" t="str">
        <f>IF(VLOOKUP($B5,'[1]Cost Analysis'!$C:$FO,137,FALSE)=0,"",VLOOKUP($B5,'[1]Cost Analysis'!$C:$FO,137,FALSE))</f>
        <v/>
      </c>
      <c r="CK5" s="7" t="str">
        <f>IF(VLOOKUP($B5,'[1]Cost Analysis'!$C:$FO,138,FALSE)=0,"",VLOOKUP($B5,'[1]Cost Analysis'!$C:$FO,138,FALSE))</f>
        <v/>
      </c>
      <c r="CL5" s="7" t="str">
        <f>IF(VLOOKUP($B5,'[1]Cost Analysis'!$C:$FO,139,FALSE)=0,"",VLOOKUP($B5,'[1]Cost Analysis'!$C:$FO,139,FALSE))</f>
        <v/>
      </c>
    </row>
    <row r="6" spans="1:90" ht="60" x14ac:dyDescent="0.25">
      <c r="A6" s="13" t="s">
        <v>31</v>
      </c>
      <c r="B6" s="13" t="s">
        <v>54</v>
      </c>
      <c r="C6" s="19" t="str">
        <f>VLOOKUP($B6,'[1]Cost Analysis'!$C:$FO,7,FALSE)</f>
        <v>Milestone 2</v>
      </c>
      <c r="D6" s="19" t="str">
        <f>VLOOKUP($B6,'[1]Cost Analysis'!$C:$FO,8,FALSE)</f>
        <v>Under Construction</v>
      </c>
      <c r="E6" s="18">
        <f>IF(ISERROR(VLOOKUP($B6,'[1]Cost Analysis'!$C:$FO,9,FALSE)),"",VLOOKUP($B6,'[1]Cost Analysis'!$C:$FO,9,FALSE))</f>
        <v>67854834.129999995</v>
      </c>
      <c r="F6" s="17">
        <f>IF(ISERROR(VLOOKUP($B6,'[1]Cost Analysis'!$C:$FO,10,FALSE)),"",VLOOKUP($B6,'[1]Cost Analysis'!$C:$FO,10,FALSE))</f>
        <v>317.93590255033428</v>
      </c>
      <c r="G6" s="9">
        <f>IF(ISERROR(VLOOKUP($B6,'[1]Cost Analysis'!$C:$FO,12,FALSE)),"",VLOOKUP($B6,'[1]Cost Analysis'!$C:$FO,12,FALSE))</f>
        <v>1098088.0540000051</v>
      </c>
      <c r="H6" s="17">
        <f>IF(ISERROR(VLOOKUP($B6,'[1]Cost Analysis'!$C:$FO,13,FALSE)),"",VLOOKUP($B6,'[1]Cost Analysis'!$C:$FO,13,FALSE))</f>
        <v>6.5507843765667486</v>
      </c>
      <c r="I6" s="16">
        <f>IF(ISERROR(VLOOKUP($B6,'[1]Cost Analysis'!$C:$FO,14,FALSE)),"",VLOOKUP($B6,'[1]Cost Analysis'!$C:$FO,14,FALSE))</f>
        <v>2.060410392163765E-2</v>
      </c>
      <c r="J6" s="18">
        <f>IF(ISERROR(VLOOKUP($B6,'[1]Cost Analysis'!$C:$FO,15,FALSE)),"",VLOOKUP($B6,'[1]Cost Analysis'!$C:$FO,15,FALSE))</f>
        <v>1005526</v>
      </c>
      <c r="K6" s="16">
        <f>IF(ISERROR(VLOOKUP($B6,'[1]Cost Analysis'!$C:$FO,16,FALSE)),"",VLOOKUP($B6,'[1]Cost Analysis'!$C:$FO,16,FALSE))</f>
        <v>1.4818782079307105E-2</v>
      </c>
      <c r="L6" s="17">
        <f>IF(ISERROR(VLOOKUP($B6,'[1]Cost Analysis'!$C:$FO,17,FALSE)),"",VLOOKUP($B6,'[1]Cost Analysis'!$C:$FO,17,FALSE))</f>
        <v>92562.054000005126</v>
      </c>
      <c r="M6" s="17">
        <f>IF(ISERROR(VLOOKUP($B6,'[1]Cost Analysis'!$C:$FO,18,FALSE)),"",VLOOKUP($B6,'[1]Cost Analysis'!$C:$FO,18,FALSE))</f>
        <v>1.8670286116169068</v>
      </c>
      <c r="N6" s="16">
        <f>IF(ISERROR(VLOOKUP($B6,'[1]Cost Analysis'!$C:$FO,19,FALSE)),"",VLOOKUP($B6,'[1]Cost Analysis'!$C:$FO,19,FALSE))</f>
        <v>5.8723428107378553E-3</v>
      </c>
      <c r="O6" s="11">
        <f>IF(ISERROR(VLOOKUP($B6,'[1]Cost Analysis'!$C:$FO,36,FALSE)),"",VLOOKUP($B6,'[1]Cost Analysis'!$C:$FO,36,FALSE))</f>
        <v>1674239</v>
      </c>
      <c r="P6" s="13" t="str">
        <f>IF(ISERROR(VLOOKUP($B6,'[1]Cost Analysis'!$C:$FO,37,FALSE)),"",VLOOKUP($B6,'[1]Cost Analysis'!$C:$FO,37,FALSE))</f>
        <v>Onsite Solar electric (PV) Owned</v>
      </c>
      <c r="Q6" s="11">
        <f>VLOOKUP($B6,'[1]Cost Analysis'!$C:$FO,39,FALSE)</f>
        <v>213423</v>
      </c>
      <c r="R6" s="11">
        <f>VLOOKUP($B6,'[1]Cost Analysis'!$C:$FO,40,FALSE)</f>
        <v>156200</v>
      </c>
      <c r="S6" s="13">
        <f>VLOOKUP($B6,'[1]Cost Analysis'!$C:$FO,41,FALSE)</f>
        <v>1</v>
      </c>
      <c r="T6" s="13">
        <f>VLOOKUP($B6,'[1]Cost Analysis'!$C:$FO,42,FALSE)</f>
        <v>12</v>
      </c>
      <c r="U6" s="13">
        <f>VLOOKUP($B6,'[1]Cost Analysis'!$C:$FO,43,FALSE)</f>
        <v>174</v>
      </c>
      <c r="V6" s="13" t="str">
        <f>VLOOKUP($B6,'[1]Cost Analysis'!$C:$FO,44,FALSE)</f>
        <v>Phius</v>
      </c>
      <c r="W6" s="13" t="str">
        <f>VLOOKUP($B6,'[1]Cost Analysis'!$C:$FO,45,FALSE)</f>
        <v>NYC</v>
      </c>
      <c r="X6" s="15" t="str">
        <f>VLOOKUP($B6,'[1]Cost Analysis'!$C:$FO,46,FALSE)</f>
        <v>Fossil Fuels</v>
      </c>
      <c r="Y6" s="14" t="str">
        <f>VLOOKUP($B6,'[1]Cost Analysis'!$C:$FO,47,FALSE)</f>
        <v>LMI</v>
      </c>
      <c r="Z6" s="13" t="str">
        <f>VLOOKUP($B6,'[1]Cost Analysis'!$C:$FO,48,FALSE)</f>
        <v>Yes</v>
      </c>
      <c r="AA6" s="13" t="str">
        <f>VLOOKUP($B6,'[1]Cost Analysis'!$C:$FO,49,FALSE)</f>
        <v xml:space="preserve">ICF and Plank </v>
      </c>
      <c r="AB6" s="13" t="str">
        <f>VLOOKUP($B6,'[1]Cost Analysis'!$C:$FO,50,FALSE)</f>
        <v>VRF - ASHP</v>
      </c>
      <c r="AC6" s="13" t="str">
        <f>VLOOKUP($B6,'[1]Cost Analysis'!$C:$FO,51,FALSE)</f>
        <v>ERV</v>
      </c>
      <c r="AD6" s="13" t="str">
        <f>VLOOKUP($B6,'[1]Cost Analysis'!$C:$FO,52,FALSE)</f>
        <v>Fossil Fuel</v>
      </c>
      <c r="AE6" s="13" t="str">
        <f>VLOOKUP($B6,'[1]Cost Analysis'!$C:$FO,53,FALSE)</f>
        <v>Yes</v>
      </c>
      <c r="AF6" s="13" t="str">
        <f>VLOOKUP($B6,'[1]Cost Analysis'!$C:$FO,54,FALSE)</f>
        <v>Mid Rise</v>
      </c>
      <c r="AG6" s="13" t="str">
        <f>IF(VLOOKUP($B6,'[1]Cost Analysis'!$C:$FO,55,FALSE)="PV","Yes","No")</f>
        <v>Yes</v>
      </c>
      <c r="AH6" s="13" t="str">
        <f>VLOOKUP($B6,'[1]Cost Analysis'!$C:$FO,57,FALSE)</f>
        <v>No</v>
      </c>
      <c r="AI6" s="13" t="str">
        <f>VLOOKUP($B6,'[1]Cost Analysis'!$C:$FO,58,FALSE)</f>
        <v>No</v>
      </c>
      <c r="AJ6" s="13" t="str">
        <f>VLOOKUP($B6,'[1]Cost Analysis'!$C:$FO,59,FALSE)</f>
        <v>No</v>
      </c>
      <c r="AK6" s="13">
        <f>VLOOKUP($B6,'[1]Cost Analysis'!$C:$FO,60,FALSE)</f>
        <v>4</v>
      </c>
      <c r="AL6" s="13" t="str">
        <f>VLOOKUP($B6,'[1]Cost Analysis'!$C:$FO,61,FALSE)</f>
        <v>Yes</v>
      </c>
      <c r="AM6" s="13" t="str">
        <f>VLOOKUP($B6,'[1]Cost Analysis'!$C:$FO,62,FALSE)</f>
        <v>NC</v>
      </c>
      <c r="AN6" s="12" t="str">
        <f>VLOOKUP($B6,'[1]Cost Analysis'!$C:$FO,63,FALSE)</f>
        <v>2014 ECCC of NYS (commercial only)</v>
      </c>
      <c r="AO6" s="12" t="str">
        <f>VLOOKUP($B6,'[1]Cost Analysis'!$C:$FO,67,FALSE)</f>
        <v>Yes</v>
      </c>
      <c r="AP6" s="12" t="str">
        <f>VLOOKUP($B6,'[1]Cost Analysis'!$C:$FO,69,FALSE)</f>
        <v>Yes</v>
      </c>
      <c r="AQ6" s="11">
        <f>VLOOKUP($B6,'[1]Cost Analysis'!$C:$FO,74,FALSE)</f>
        <v>8758523</v>
      </c>
      <c r="AR6" s="11">
        <f>VLOOKUP($B6,'[1]Cost Analysis'!$C:$FO,75,FALSE)</f>
        <v>7084284</v>
      </c>
      <c r="AS6" s="10">
        <f>IF(ISERROR(VLOOKUP($B6,'[1]Cost Analysis'!$C:$FO,76,FALSE)),"",VLOOKUP($B6,'[1]Cost Analysis'!$C:$FO,76,FALSE))</f>
        <v>0.191155403713617</v>
      </c>
      <c r="AT6" s="9">
        <f>VLOOKUP($B6,'[1]Cost Analysis'!$C:$FO,78,FALSE)</f>
        <v>70693.27</v>
      </c>
      <c r="AU6" s="9">
        <f>VLOOKUP($B6,'[1]Cost Analysis'!$C:$FO,82,FALSE)</f>
        <v>0.45258175416133167</v>
      </c>
      <c r="AV6" s="8">
        <f>VLOOKUP($B6,'[1]Cost Analysis'!$C:$FO,83,FALSE)</f>
        <v>33.193629552578685</v>
      </c>
      <c r="AW6" s="7">
        <f>IF(VLOOKUP($B6,'[1]Cost Analysis'!$C:$FO,86,FALSE)=0,"",VLOOKUP($B6,'[1]Cost Analysis'!$C:$FO,86,FALSE))</f>
        <v>366127.82999999996</v>
      </c>
      <c r="AX6" s="7">
        <f>IF(VLOOKUP($B6,'[1]Cost Analysis'!$C:$FO,87,FALSE)=0,"",VLOOKUP($B6,'[1]Cost Analysis'!$C:$FO,87,FALSE))</f>
        <v>8908493.25</v>
      </c>
      <c r="AY6" s="7">
        <f>IF(VLOOKUP($B6,'[1]Cost Analysis'!$C:$FO,88,FALSE)=0,"",VLOOKUP($B6,'[1]Cost Analysis'!$C:$FO,88,FALSE))</f>
        <v>575000</v>
      </c>
      <c r="AZ6" s="7">
        <f>IF(VLOOKUP($B6,'[1]Cost Analysis'!$C:$FO,89,FALSE)=0,"",VLOOKUP($B6,'[1]Cost Analysis'!$C:$FO,89,FALSE))</f>
        <v>625000</v>
      </c>
      <c r="BA6" s="7">
        <f>IF(VLOOKUP($B6,'[1]Cost Analysis'!$C:$FO,90,FALSE)=0,"",VLOOKUP($B6,'[1]Cost Analysis'!$C:$FO,90,FALSE))</f>
        <v>679194.51</v>
      </c>
      <c r="BB6" s="7">
        <f>IF(VLOOKUP($B6,'[1]Cost Analysis'!$C:$FO,91,FALSE)=0,"",VLOOKUP($B6,'[1]Cost Analysis'!$C:$FO,91,FALSE))</f>
        <v>300000</v>
      </c>
      <c r="BC6" s="7" t="str">
        <f>IF(VLOOKUP($B6,'[1]Cost Analysis'!$C:$FO,92,FALSE)=0,"",VLOOKUP($B6,'[1]Cost Analysis'!$C:$FO,92,FALSE))</f>
        <v/>
      </c>
      <c r="BD6" s="7" t="str">
        <f>IF(VLOOKUP($B6,'[1]Cost Analysis'!$C:$FO,93,FALSE)=0,"",VLOOKUP($B6,'[1]Cost Analysis'!$C:$FO,93,FALSE))</f>
        <v/>
      </c>
      <c r="BE6" s="7">
        <f>IF(VLOOKUP($B6,'[1]Cost Analysis'!$C:$FO,94,FALSE)=0,"",VLOOKUP($B6,'[1]Cost Analysis'!$C:$FO,94,FALSE))</f>
        <v>1195947.3</v>
      </c>
      <c r="BF6" s="7">
        <f>IF(VLOOKUP($B6,'[1]Cost Analysis'!$C:$FO,95,FALSE)=0,"",VLOOKUP($B6,'[1]Cost Analysis'!$C:$FO,95,FALSE))</f>
        <v>55205071.239999987</v>
      </c>
      <c r="BG6" s="7">
        <f>IF(VLOOKUP($B6,'[1]Cost Analysis'!$C:$FO,96,FALSE)=0,"",VLOOKUP($B6,'[1]Cost Analysis'!$C:$FO,96,FALSE))</f>
        <v>67854834.129999995</v>
      </c>
      <c r="BH6" s="7">
        <f>IF(VLOOKUP($B6,'[1]Cost Analysis'!$C:$FO,97,FALSE)=0,"",VLOOKUP($B6,'[1]Cost Analysis'!$C:$FO,97,FALSE))</f>
        <v>-300000</v>
      </c>
      <c r="BI6" s="7" t="str">
        <f>IF(VLOOKUP($B6,'[1]Cost Analysis'!$C:$FO,98,FALSE)=0,"",VLOOKUP($B6,'[1]Cost Analysis'!$C:$FO,98,FALSE))</f>
        <v/>
      </c>
      <c r="BJ6" s="7" t="str">
        <f>IF(VLOOKUP($B6,'[1]Cost Analysis'!$C:$FO,99,FALSE)=0,"",VLOOKUP($B6,'[1]Cost Analysis'!$C:$FO,99,FALSE))</f>
        <v/>
      </c>
      <c r="BK6" s="7" t="str">
        <f>IF(VLOOKUP($B6,'[1]Cost Analysis'!$C:$FO,100,FALSE)=0,"",VLOOKUP($B6,'[1]Cost Analysis'!$C:$FO,100,FALSE))</f>
        <v/>
      </c>
      <c r="BL6" s="7" t="str">
        <f>IF(VLOOKUP($B6,'[1]Cost Analysis'!$C:$FO,101,FALSE)=0,"",VLOOKUP($B6,'[1]Cost Analysis'!$C:$FO,101,FALSE))</f>
        <v/>
      </c>
      <c r="BM6" s="7">
        <f>IF(VLOOKUP($B6,'[1]Cost Analysis'!$C:$FO,102,FALSE)=0,"",VLOOKUP($B6,'[1]Cost Analysis'!$C:$FO,102,FALSE))</f>
        <v>-20000</v>
      </c>
      <c r="BN6" s="7" t="str">
        <f>IF(VLOOKUP($B6,'[1]Cost Analysis'!$C:$FO,103,FALSE)=0,"",VLOOKUP($B6,'[1]Cost Analysis'!$C:$FO,103,FALSE))</f>
        <v/>
      </c>
      <c r="BO6" s="7">
        <f>IF(VLOOKUP($B6,'[1]Cost Analysis'!$C:$FO,104,FALSE)=0,"",VLOOKUP($B6,'[1]Cost Analysis'!$C:$FO,104,FALSE))</f>
        <v>-320000</v>
      </c>
      <c r="BP6" s="7">
        <f>IF(VLOOKUP($B6,'[1]Cost Analysis'!$C:$FO,105,FALSE)=0,"",VLOOKUP($B6,'[1]Cost Analysis'!$C:$FO,105,FALSE))</f>
        <v>-500000</v>
      </c>
      <c r="BQ6" s="7" t="str">
        <f>IF(VLOOKUP($B6,'[1]Cost Analysis'!$C:$FO,106,FALSE)=0,"",VLOOKUP($B6,'[1]Cost Analysis'!$C:$FO,106,FALSE))</f>
        <v/>
      </c>
      <c r="BR6" s="7">
        <f>IF(VLOOKUP($B6,'[1]Cost Analysis'!$C:$FO,107,FALSE)=0,"",VLOOKUP($B6,'[1]Cost Analysis'!$C:$FO,107,FALSE))</f>
        <v>-185526</v>
      </c>
      <c r="BS6" s="7" t="str">
        <f>IF(VLOOKUP($B6,'[1]Cost Analysis'!$C:$FO,108,FALSE)=0,"",VLOOKUP($B6,'[1]Cost Analysis'!$C:$FO,108,FALSE))</f>
        <v/>
      </c>
      <c r="BT6" s="7" t="str">
        <f>IF(VLOOKUP($B6,'[1]Cost Analysis'!$C:$FO,109,FALSE)=0,"",VLOOKUP($B6,'[1]Cost Analysis'!$C:$FO,109,FALSE))</f>
        <v/>
      </c>
      <c r="BU6" s="7" t="str">
        <f>IF(VLOOKUP($B6,'[1]Cost Analysis'!$C:$FO,110,FALSE)=0,"",VLOOKUP($B6,'[1]Cost Analysis'!$C:$FO,110,FALSE))</f>
        <v/>
      </c>
      <c r="BV6" s="7">
        <f>IF(VLOOKUP($B6,'[1]Cost Analysis'!$C:$FO,111,FALSE)=0,"",VLOOKUP($B6,'[1]Cost Analysis'!$C:$FO,111,FALSE))</f>
        <v>-185526</v>
      </c>
      <c r="BW6" s="7">
        <f>IF(VLOOKUP($B6,'[1]Cost Analysis'!$C:$FO,112,FALSE)=0,"",VLOOKUP($B6,'[1]Cost Analysis'!$C:$FO,112,FALSE))</f>
        <v>66849308.129999995</v>
      </c>
      <c r="BX6" s="7">
        <f>IF(VLOOKUP($B6,'[1]Cost Analysis'!$C:$FO,125,FALSE)=0,"",VLOOKUP($B6,'[1]Cost Analysis'!$C:$FO,125,FALSE))</f>
        <v>347821.43849999993</v>
      </c>
      <c r="BY6" s="7">
        <f>IF(VLOOKUP($B6,'[1]Cost Analysis'!$C:$FO,126,FALSE)=0,"",VLOOKUP($B6,'[1]Cost Analysis'!$C:$FO,126,FALSE))</f>
        <v>8463068.5875000004</v>
      </c>
      <c r="BZ6" s="7">
        <f>IF(VLOOKUP($B6,'[1]Cost Analysis'!$C:$FO,127,FALSE)=0,"",VLOOKUP($B6,'[1]Cost Analysis'!$C:$FO,127,FALSE))</f>
        <v>575000</v>
      </c>
      <c r="CA6" s="7">
        <f>IF(VLOOKUP($B6,'[1]Cost Analysis'!$C:$FO,128,FALSE)=0,"",VLOOKUP($B6,'[1]Cost Analysis'!$C:$FO,128,FALSE))</f>
        <v>625000</v>
      </c>
      <c r="CB6" s="7">
        <f>IF(VLOOKUP($B6,'[1]Cost Analysis'!$C:$FO,129,FALSE)=0,"",VLOOKUP($B6,'[1]Cost Analysis'!$C:$FO,129,FALSE))</f>
        <v>72837.510000000009</v>
      </c>
      <c r="CC6" s="7">
        <f>IF(VLOOKUP($B6,'[1]Cost Analysis'!$C:$FO,130,FALSE)=0,"",VLOOKUP($B6,'[1]Cost Analysis'!$C:$FO,130,FALSE))</f>
        <v>300000</v>
      </c>
      <c r="CD6" s="7" t="str">
        <f>IF(VLOOKUP($B6,'[1]Cost Analysis'!$C:$FO,131,FALSE)=0,"",VLOOKUP($B6,'[1]Cost Analysis'!$C:$FO,131,FALSE))</f>
        <v/>
      </c>
      <c r="CE6" s="7" t="str">
        <f>IF(VLOOKUP($B6,'[1]Cost Analysis'!$C:$FO,132,FALSE)=0,"",VLOOKUP($B6,'[1]Cost Analysis'!$C:$FO,132,FALSE))</f>
        <v/>
      </c>
      <c r="CF6" s="7">
        <f>IF(VLOOKUP($B6,'[1]Cost Analysis'!$C:$FO,133,FALSE)=0,"",VLOOKUP($B6,'[1]Cost Analysis'!$C:$FO,133,FALSE))</f>
        <v>1167947.3</v>
      </c>
      <c r="CG6" s="7">
        <f>IF(VLOOKUP($B6,'[1]Cost Analysis'!$C:$FO,134,FALSE)=0,"",VLOOKUP($B6,'[1]Cost Analysis'!$C:$FO,134,FALSE))</f>
        <v>55205071.239999987</v>
      </c>
      <c r="CH6" s="7">
        <f>IF(VLOOKUP($B6,'[1]Cost Analysis'!$C:$FO,135,FALSE)=0,"",VLOOKUP($B6,'[1]Cost Analysis'!$C:$FO,135,FALSE))</f>
        <v>66756746.07599999</v>
      </c>
      <c r="CI6" s="7">
        <f>IF(VLOOKUP($B6,'[1]Cost Analysis'!$C:$FO,136,FALSE)=0,"",VLOOKUP($B6,'[1]Cost Analysis'!$C:$FO,136,FALSE))</f>
        <v>-300000</v>
      </c>
      <c r="CJ6" s="7" t="str">
        <f>IF(VLOOKUP($B6,'[1]Cost Analysis'!$C:$FO,137,FALSE)=0,"",VLOOKUP($B6,'[1]Cost Analysis'!$C:$FO,137,FALSE))</f>
        <v/>
      </c>
      <c r="CK6" s="7" t="str">
        <f>IF(VLOOKUP($B6,'[1]Cost Analysis'!$C:$FO,138,FALSE)=0,"",VLOOKUP($B6,'[1]Cost Analysis'!$C:$FO,138,FALSE))</f>
        <v/>
      </c>
      <c r="CL6" s="7">
        <f>IF(VLOOKUP($B6,'[1]Cost Analysis'!$C:$FO,139,FALSE)=0,"",VLOOKUP($B6,'[1]Cost Analysis'!$C:$FO,139,FALSE))</f>
        <v>66456746.07599999</v>
      </c>
    </row>
    <row r="7" spans="1:90" ht="30" x14ac:dyDescent="0.25">
      <c r="A7" s="13" t="s">
        <v>31</v>
      </c>
      <c r="B7" s="13" t="s">
        <v>53</v>
      </c>
      <c r="C7" s="19" t="str">
        <f>VLOOKUP($B7,'[1]Cost Analysis'!$C:$FO,7,FALSE)</f>
        <v>Milestone 2</v>
      </c>
      <c r="D7" s="19" t="str">
        <f>VLOOKUP($B7,'[1]Cost Analysis'!$C:$FO,8,FALSE)</f>
        <v>Late Design</v>
      </c>
      <c r="E7" s="18">
        <f>IF(ISERROR(VLOOKUP($B7,'[1]Cost Analysis'!$C:$FO,9,FALSE)),"",VLOOKUP($B7,'[1]Cost Analysis'!$C:$FO,9,FALSE))</f>
        <v>56364006.340000004</v>
      </c>
      <c r="F7" s="17">
        <f>IF(ISERROR(VLOOKUP($B7,'[1]Cost Analysis'!$C:$FO,10,FALSE)),"",VLOOKUP($B7,'[1]Cost Analysis'!$C:$FO,10,FALSE))</f>
        <v>765.34943865690457</v>
      </c>
      <c r="G7" s="9">
        <f>IF(ISERROR(VLOOKUP($B7,'[1]Cost Analysis'!$C:$FO,12,FALSE)),"",VLOOKUP($B7,'[1]Cost Analysis'!$C:$FO,12,FALSE))</f>
        <v>16961458.189999998</v>
      </c>
      <c r="H7" s="17">
        <f>IF(ISERROR(VLOOKUP($B7,'[1]Cost Analysis'!$C:$FO,13,FALSE)),"",VLOOKUP($B7,'[1]Cost Analysis'!$C:$FO,13,FALSE))</f>
        <v>244.28674108694705</v>
      </c>
      <c r="I7" s="16">
        <f>IF(ISERROR(VLOOKUP($B7,'[1]Cost Analysis'!$C:$FO,14,FALSE)),"",VLOOKUP($B7,'[1]Cost Analysis'!$C:$FO,14,FALSE))</f>
        <v>0.31918327596299106</v>
      </c>
      <c r="J7" s="18">
        <f>IF(ISERROR(VLOOKUP($B7,'[1]Cost Analysis'!$C:$FO,15,FALSE)),"",VLOOKUP($B7,'[1]Cost Analysis'!$C:$FO,15,FALSE))</f>
        <v>1028990</v>
      </c>
      <c r="K7" s="16">
        <f>IF(ISERROR(VLOOKUP($B7,'[1]Cost Analysis'!$C:$FO,16,FALSE)),"",VLOOKUP($B7,'[1]Cost Analysis'!$C:$FO,16,FALSE))</f>
        <v>1.8256154358384454E-2</v>
      </c>
      <c r="L7" s="17">
        <f>IF(ISERROR(VLOOKUP($B7,'[1]Cost Analysis'!$C:$FO,17,FALSE)),"",VLOOKUP($B7,'[1]Cost Analysis'!$C:$FO,17,FALSE))</f>
        <v>15932468.189999998</v>
      </c>
      <c r="M7" s="17">
        <f>IF(ISERROR(VLOOKUP($B7,'[1]Cost Analysis'!$C:$FO,18,FALSE)),"",VLOOKUP($B7,'[1]Cost Analysis'!$C:$FO,18,FALSE))</f>
        <v>234.59724715279722</v>
      </c>
      <c r="N7" s="16">
        <f>IF(ISERROR(VLOOKUP($B7,'[1]Cost Analysis'!$C:$FO,19,FALSE)),"",VLOOKUP($B7,'[1]Cost Analysis'!$C:$FO,19,FALSE))</f>
        <v>0.30652305378898159</v>
      </c>
      <c r="O7" s="11">
        <f>IF(ISERROR(VLOOKUP($B7,'[1]Cost Analysis'!$C:$FO,36,FALSE)),"",VLOOKUP($B7,'[1]Cost Analysis'!$C:$FO,36,FALSE))</f>
        <v>418916</v>
      </c>
      <c r="P7" s="13" t="str">
        <f>IF(ISERROR(VLOOKUP($B7,'[1]Cost Analysis'!$C:$FO,37,FALSE)),"",VLOOKUP($B7,'[1]Cost Analysis'!$C:$FO,37,FALSE))</f>
        <v>Onsite Solar electric (PV) Owned</v>
      </c>
      <c r="Q7" s="11">
        <f>VLOOKUP($B7,'[1]Cost Analysis'!$C:$FO,39,FALSE)</f>
        <v>73644.800000000003</v>
      </c>
      <c r="R7" s="11">
        <f>VLOOKUP($B7,'[1]Cost Analysis'!$C:$FO,40,FALSE)</f>
        <v>73644.800000000003</v>
      </c>
      <c r="S7" s="13">
        <f>VLOOKUP($B7,'[1]Cost Analysis'!$C:$FO,41,FALSE)</f>
        <v>1</v>
      </c>
      <c r="T7" s="13">
        <f>VLOOKUP($B7,'[1]Cost Analysis'!$C:$FO,42,FALSE)</f>
        <v>8</v>
      </c>
      <c r="U7" s="13">
        <f>VLOOKUP($B7,'[1]Cost Analysis'!$C:$FO,43,FALSE)</f>
        <v>94</v>
      </c>
      <c r="V7" s="13" t="str">
        <f>VLOOKUP($B7,'[1]Cost Analysis'!$C:$FO,44,FALSE)</f>
        <v>ASHRAE</v>
      </c>
      <c r="W7" s="13" t="str">
        <f>VLOOKUP($B7,'[1]Cost Analysis'!$C:$FO,45,FALSE)</f>
        <v>NYC</v>
      </c>
      <c r="X7" s="15" t="str">
        <f>VLOOKUP($B7,'[1]Cost Analysis'!$C:$FO,46,FALSE)</f>
        <v>All Electric</v>
      </c>
      <c r="Y7" s="14" t="str">
        <f>VLOOKUP($B7,'[1]Cost Analysis'!$C:$FO,47,FALSE)</f>
        <v>LMI</v>
      </c>
      <c r="Z7" s="13" t="str">
        <f>VLOOKUP($B7,'[1]Cost Analysis'!$C:$FO,48,FALSE)</f>
        <v>Yes</v>
      </c>
      <c r="AA7" s="13" t="str">
        <f>VLOOKUP($B7,'[1]Cost Analysis'!$C:$FO,49,FALSE)</f>
        <v>Block and Plank</v>
      </c>
      <c r="AB7" s="13" t="str">
        <f>VLOOKUP($B7,'[1]Cost Analysis'!$C:$FO,50,FALSE)</f>
        <v>VRF - ASHP</v>
      </c>
      <c r="AC7" s="13" t="str">
        <f>VLOOKUP($B7,'[1]Cost Analysis'!$C:$FO,51,FALSE)</f>
        <v>ERV</v>
      </c>
      <c r="AD7" s="13" t="str">
        <f>VLOOKUP($B7,'[1]Cost Analysis'!$C:$FO,52,FALSE)</f>
        <v>ASHP</v>
      </c>
      <c r="AE7" s="13" t="str">
        <f>VLOOKUP($B7,'[1]Cost Analysis'!$C:$FO,53,FALSE)</f>
        <v>Yes</v>
      </c>
      <c r="AF7" s="13" t="str">
        <f>VLOOKUP($B7,'[1]Cost Analysis'!$C:$FO,54,FALSE)</f>
        <v>Mid Rise</v>
      </c>
      <c r="AG7" s="13" t="str">
        <f>IF(VLOOKUP($B7,'[1]Cost Analysis'!$C:$FO,55,FALSE)="PV","Yes","No")</f>
        <v>Yes</v>
      </c>
      <c r="AH7" s="13" t="str">
        <f>VLOOKUP($B7,'[1]Cost Analysis'!$C:$FO,57,FALSE)</f>
        <v>No</v>
      </c>
      <c r="AI7" s="13" t="str">
        <f>VLOOKUP($B7,'[1]Cost Analysis'!$C:$FO,58,FALSE)</f>
        <v>No</v>
      </c>
      <c r="AJ7" s="13" t="str">
        <f>VLOOKUP($B7,'[1]Cost Analysis'!$C:$FO,59,FALSE)</f>
        <v>No</v>
      </c>
      <c r="AK7" s="13">
        <f>VLOOKUP($B7,'[1]Cost Analysis'!$C:$FO,60,FALSE)</f>
        <v>4</v>
      </c>
      <c r="AL7" s="13" t="str">
        <f>VLOOKUP($B7,'[1]Cost Analysis'!$C:$FO,61,FALSE)</f>
        <v>No</v>
      </c>
      <c r="AM7" s="13" t="str">
        <f>VLOOKUP($B7,'[1]Cost Analysis'!$C:$FO,62,FALSE)</f>
        <v>NC</v>
      </c>
      <c r="AN7" s="12" t="str">
        <f>VLOOKUP($B7,'[1]Cost Analysis'!$C:$FO,63,FALSE)</f>
        <v>2016 ECCC of NYS</v>
      </c>
      <c r="AO7" s="12" t="str">
        <f>VLOOKUP($B7,'[1]Cost Analysis'!$C:$FO,67,FALSE)</f>
        <v>Yes</v>
      </c>
      <c r="AP7" s="12" t="str">
        <f>VLOOKUP($B7,'[1]Cost Analysis'!$C:$FO,69,FALSE)</f>
        <v>No</v>
      </c>
      <c r="AQ7" s="11">
        <f>VLOOKUP($B7,'[1]Cost Analysis'!$C:$FO,74,FALSE)</f>
        <v>4414341</v>
      </c>
      <c r="AR7" s="11">
        <f>VLOOKUP($B7,'[1]Cost Analysis'!$C:$FO,75,FALSE)</f>
        <v>3995425</v>
      </c>
      <c r="AS7" s="10">
        <f>IF(ISERROR(VLOOKUP($B7,'[1]Cost Analysis'!$C:$FO,76,FALSE)),"",VLOOKUP($B7,'[1]Cost Analysis'!$C:$FO,76,FALSE))</f>
        <v>9.489887618559599E-2</v>
      </c>
      <c r="AT7" s="9">
        <f>VLOOKUP($B7,'[1]Cost Analysis'!$C:$FO,78,FALSE)</f>
        <v>55225.38</v>
      </c>
      <c r="AU7" s="9">
        <f>VLOOKUP($B7,'[1]Cost Analysis'!$C:$FO,82,FALSE)</f>
        <v>0.7498883831580776</v>
      </c>
      <c r="AV7" s="8">
        <f>VLOOKUP($B7,'[1]Cost Analysis'!$C:$FO,83,FALSE)</f>
        <v>54.25264241331363</v>
      </c>
      <c r="AW7" s="7">
        <f>IF(VLOOKUP($B7,'[1]Cost Analysis'!$C:$FO,86,FALSE)=0,"",VLOOKUP($B7,'[1]Cost Analysis'!$C:$FO,86,FALSE))</f>
        <v>1965400</v>
      </c>
      <c r="AX7" s="7">
        <f>IF(VLOOKUP($B7,'[1]Cost Analysis'!$C:$FO,87,FALSE)=0,"",VLOOKUP($B7,'[1]Cost Analysis'!$C:$FO,87,FALSE))</f>
        <v>5651719.0199999996</v>
      </c>
      <c r="AY7" s="7">
        <f>IF(VLOOKUP($B7,'[1]Cost Analysis'!$C:$FO,88,FALSE)=0,"",VLOOKUP($B7,'[1]Cost Analysis'!$C:$FO,88,FALSE))</f>
        <v>1791250</v>
      </c>
      <c r="AZ7" s="7">
        <f>IF(VLOOKUP($B7,'[1]Cost Analysis'!$C:$FO,89,FALSE)=0,"",VLOOKUP($B7,'[1]Cost Analysis'!$C:$FO,89,FALSE))</f>
        <v>239216.96</v>
      </c>
      <c r="BA7" s="7">
        <f>IF(VLOOKUP($B7,'[1]Cost Analysis'!$C:$FO,90,FALSE)=0,"",VLOOKUP($B7,'[1]Cost Analysis'!$C:$FO,90,FALSE))</f>
        <v>2535918.75</v>
      </c>
      <c r="BB7" s="7">
        <f>IF(VLOOKUP($B7,'[1]Cost Analysis'!$C:$FO,91,FALSE)=0,"",VLOOKUP($B7,'[1]Cost Analysis'!$C:$FO,91,FALSE))</f>
        <v>294500</v>
      </c>
      <c r="BC7" s="7" t="str">
        <f>IF(VLOOKUP($B7,'[1]Cost Analysis'!$C:$FO,92,FALSE)=0,"",VLOOKUP($B7,'[1]Cost Analysis'!$C:$FO,92,FALSE))</f>
        <v/>
      </c>
      <c r="BD7" s="7">
        <f>IF(VLOOKUP($B7,'[1]Cost Analysis'!$C:$FO,93,FALSE)=0,"",VLOOKUP($B7,'[1]Cost Analysis'!$C:$FO,93,FALSE))</f>
        <v>310000</v>
      </c>
      <c r="BE7" s="7">
        <f>IF(VLOOKUP($B7,'[1]Cost Analysis'!$C:$FO,94,FALSE)=0,"",VLOOKUP($B7,'[1]Cost Analysis'!$C:$FO,94,FALSE))</f>
        <v>2405000</v>
      </c>
      <c r="BF7" s="7">
        <f>IF(VLOOKUP($B7,'[1]Cost Analysis'!$C:$FO,95,FALSE)=0,"",VLOOKUP($B7,'[1]Cost Analysis'!$C:$FO,95,FALSE))</f>
        <v>41171001.610000007</v>
      </c>
      <c r="BG7" s="7">
        <f>IF(VLOOKUP($B7,'[1]Cost Analysis'!$C:$FO,96,FALSE)=0,"",VLOOKUP($B7,'[1]Cost Analysis'!$C:$FO,96,FALSE))</f>
        <v>56364006.340000004</v>
      </c>
      <c r="BH7" s="7">
        <f>IF(VLOOKUP($B7,'[1]Cost Analysis'!$C:$FO,97,FALSE)=0,"",VLOOKUP($B7,'[1]Cost Analysis'!$C:$FO,97,FALSE))</f>
        <v>-300000</v>
      </c>
      <c r="BI7" s="7">
        <f>IF(VLOOKUP($B7,'[1]Cost Analysis'!$C:$FO,98,FALSE)=0,"",VLOOKUP($B7,'[1]Cost Analysis'!$C:$FO,98,FALSE))</f>
        <v>-39240</v>
      </c>
      <c r="BJ7" s="7" t="str">
        <f>IF(VLOOKUP($B7,'[1]Cost Analysis'!$C:$FO,99,FALSE)=0,"",VLOOKUP($B7,'[1]Cost Analysis'!$C:$FO,99,FALSE))</f>
        <v/>
      </c>
      <c r="BK7" s="7" t="str">
        <f>IF(VLOOKUP($B7,'[1]Cost Analysis'!$C:$FO,100,FALSE)=0,"",VLOOKUP($B7,'[1]Cost Analysis'!$C:$FO,100,FALSE))</f>
        <v/>
      </c>
      <c r="BL7" s="7" t="str">
        <f>IF(VLOOKUP($B7,'[1]Cost Analysis'!$C:$FO,101,FALSE)=0,"",VLOOKUP($B7,'[1]Cost Analysis'!$C:$FO,101,FALSE))</f>
        <v/>
      </c>
      <c r="BM7" s="7" t="str">
        <f>IF(VLOOKUP($B7,'[1]Cost Analysis'!$C:$FO,102,FALSE)=0,"",VLOOKUP($B7,'[1]Cost Analysis'!$C:$FO,102,FALSE))</f>
        <v/>
      </c>
      <c r="BN7" s="7" t="str">
        <f>IF(VLOOKUP($B7,'[1]Cost Analysis'!$C:$FO,103,FALSE)=0,"",VLOOKUP($B7,'[1]Cost Analysis'!$C:$FO,103,FALSE))</f>
        <v/>
      </c>
      <c r="BO7" s="7">
        <f>IF(VLOOKUP($B7,'[1]Cost Analysis'!$C:$FO,104,FALSE)=0,"",VLOOKUP($B7,'[1]Cost Analysis'!$C:$FO,104,FALSE))</f>
        <v>-339240</v>
      </c>
      <c r="BP7" s="7">
        <f>IF(VLOOKUP($B7,'[1]Cost Analysis'!$C:$FO,105,FALSE)=0,"",VLOOKUP($B7,'[1]Cost Analysis'!$C:$FO,105,FALSE))</f>
        <v>-637500</v>
      </c>
      <c r="BQ7" s="7" t="str">
        <f>IF(VLOOKUP($B7,'[1]Cost Analysis'!$C:$FO,106,FALSE)=0,"",VLOOKUP($B7,'[1]Cost Analysis'!$C:$FO,106,FALSE))</f>
        <v/>
      </c>
      <c r="BR7" s="7">
        <f>IF(VLOOKUP($B7,'[1]Cost Analysis'!$C:$FO,107,FALSE)=0,"",VLOOKUP($B7,'[1]Cost Analysis'!$C:$FO,107,FALSE))</f>
        <v>-52250</v>
      </c>
      <c r="BS7" s="7" t="str">
        <f>IF(VLOOKUP($B7,'[1]Cost Analysis'!$C:$FO,108,FALSE)=0,"",VLOOKUP($B7,'[1]Cost Analysis'!$C:$FO,108,FALSE))</f>
        <v/>
      </c>
      <c r="BT7" s="7" t="str">
        <f>IF(VLOOKUP($B7,'[1]Cost Analysis'!$C:$FO,109,FALSE)=0,"",VLOOKUP($B7,'[1]Cost Analysis'!$C:$FO,109,FALSE))</f>
        <v/>
      </c>
      <c r="BU7" s="7" t="str">
        <f>IF(VLOOKUP($B7,'[1]Cost Analysis'!$C:$FO,110,FALSE)=0,"",VLOOKUP($B7,'[1]Cost Analysis'!$C:$FO,110,FALSE))</f>
        <v/>
      </c>
      <c r="BV7" s="7">
        <f>IF(VLOOKUP($B7,'[1]Cost Analysis'!$C:$FO,111,FALSE)=0,"",VLOOKUP($B7,'[1]Cost Analysis'!$C:$FO,111,FALSE))</f>
        <v>-52250</v>
      </c>
      <c r="BW7" s="7">
        <f>IF(VLOOKUP($B7,'[1]Cost Analysis'!$C:$FO,112,FALSE)=0,"",VLOOKUP($B7,'[1]Cost Analysis'!$C:$FO,112,FALSE))</f>
        <v>55335016.340000004</v>
      </c>
      <c r="BX7" s="7">
        <f>IF(VLOOKUP($B7,'[1]Cost Analysis'!$C:$FO,125,FALSE)=0,"",VLOOKUP($B7,'[1]Cost Analysis'!$C:$FO,125,FALSE))</f>
        <v>2040400</v>
      </c>
      <c r="BY7" s="7">
        <f>IF(VLOOKUP($B7,'[1]Cost Analysis'!$C:$FO,126,FALSE)=0,"",VLOOKUP($B7,'[1]Cost Analysis'!$C:$FO,126,FALSE))</f>
        <v>20555045.059999999</v>
      </c>
      <c r="BZ7" s="7">
        <f>IF(VLOOKUP($B7,'[1]Cost Analysis'!$C:$FO,127,FALSE)=0,"",VLOOKUP($B7,'[1]Cost Analysis'!$C:$FO,127,FALSE))</f>
        <v>2549800</v>
      </c>
      <c r="CA7" s="7">
        <f>IF(VLOOKUP($B7,'[1]Cost Analysis'!$C:$FO,128,FALSE)=0,"",VLOOKUP($B7,'[1]Cost Analysis'!$C:$FO,128,FALSE))</f>
        <v>239217</v>
      </c>
      <c r="CB7" s="7">
        <f>IF(VLOOKUP($B7,'[1]Cost Analysis'!$C:$FO,129,FALSE)=0,"",VLOOKUP($B7,'[1]Cost Analysis'!$C:$FO,129,FALSE))</f>
        <v>250000</v>
      </c>
      <c r="CC7" s="7">
        <f>IF(VLOOKUP($B7,'[1]Cost Analysis'!$C:$FO,130,FALSE)=0,"",VLOOKUP($B7,'[1]Cost Analysis'!$C:$FO,130,FALSE))</f>
        <v>3795818.75</v>
      </c>
      <c r="CD7" s="7" t="str">
        <f>IF(VLOOKUP($B7,'[1]Cost Analysis'!$C:$FO,131,FALSE)=0,"",VLOOKUP($B7,'[1]Cost Analysis'!$C:$FO,131,FALSE))</f>
        <v/>
      </c>
      <c r="CE7" s="7">
        <f>IF(VLOOKUP($B7,'[1]Cost Analysis'!$C:$FO,132,FALSE)=0,"",VLOOKUP($B7,'[1]Cost Analysis'!$C:$FO,132,FALSE))</f>
        <v>310000</v>
      </c>
      <c r="CF7" s="7">
        <f>IF(VLOOKUP($B7,'[1]Cost Analysis'!$C:$FO,133,FALSE)=0,"",VLOOKUP($B7,'[1]Cost Analysis'!$C:$FO,133,FALSE))</f>
        <v>8025192</v>
      </c>
      <c r="CG7" s="7">
        <f>IF(VLOOKUP($B7,'[1]Cost Analysis'!$C:$FO,134,FALSE)=0,"",VLOOKUP($B7,'[1]Cost Analysis'!$C:$FO,134,FALSE))</f>
        <v>1637075.34</v>
      </c>
      <c r="CH7" s="7">
        <f>IF(VLOOKUP($B7,'[1]Cost Analysis'!$C:$FO,135,FALSE)=0,"",VLOOKUP($B7,'[1]Cost Analysis'!$C:$FO,135,FALSE))</f>
        <v>39402548.150000006</v>
      </c>
      <c r="CI7" s="7">
        <f>IF(VLOOKUP($B7,'[1]Cost Analysis'!$C:$FO,136,FALSE)=0,"",VLOOKUP($B7,'[1]Cost Analysis'!$C:$FO,136,FALSE))</f>
        <v>-339240</v>
      </c>
      <c r="CJ7" s="7">
        <f>IF(VLOOKUP($B7,'[1]Cost Analysis'!$C:$FO,137,FALSE)=0,"",VLOOKUP($B7,'[1]Cost Analysis'!$C:$FO,137,FALSE))</f>
        <v>-637500</v>
      </c>
      <c r="CK7" s="7">
        <f>IF(VLOOKUP($B7,'[1]Cost Analysis'!$C:$FO,138,FALSE)=0,"",VLOOKUP($B7,'[1]Cost Analysis'!$C:$FO,138,FALSE))</f>
        <v>-52250</v>
      </c>
      <c r="CL7" s="7">
        <f>IF(VLOOKUP($B7,'[1]Cost Analysis'!$C:$FO,139,FALSE)=0,"",VLOOKUP($B7,'[1]Cost Analysis'!$C:$FO,139,FALSE))</f>
        <v>38373558.150000006</v>
      </c>
    </row>
    <row r="8" spans="1:90" ht="30" x14ac:dyDescent="0.25">
      <c r="A8" s="13" t="s">
        <v>31</v>
      </c>
      <c r="B8" s="13" t="s">
        <v>52</v>
      </c>
      <c r="C8" s="19" t="str">
        <f>VLOOKUP($B8,'[1]Cost Analysis'!$C:$FO,7,FALSE)</f>
        <v>Milestone 3</v>
      </c>
      <c r="D8" s="19" t="str">
        <f>VLOOKUP($B8,'[1]Cost Analysis'!$C:$FO,8,FALSE)</f>
        <v>Under Construction</v>
      </c>
      <c r="E8" s="18">
        <f>IF(ISERROR(VLOOKUP($B8,'[1]Cost Analysis'!$C:$FO,9,FALSE)),"",VLOOKUP($B8,'[1]Cost Analysis'!$C:$FO,9,FALSE))</f>
        <v>94135276.839999989</v>
      </c>
      <c r="F8" s="17">
        <f>IF(ISERROR(VLOOKUP($B8,'[1]Cost Analysis'!$C:$FO,10,FALSE)),"",VLOOKUP($B8,'[1]Cost Analysis'!$C:$FO,10,FALSE))</f>
        <v>522.5238091643306</v>
      </c>
      <c r="G8" s="9">
        <f>IF(ISERROR(VLOOKUP($B8,'[1]Cost Analysis'!$C:$FO,12,FALSE)),"",VLOOKUP($B8,'[1]Cost Analysis'!$C:$FO,12,FALSE))</f>
        <v>1973585.0600000024</v>
      </c>
      <c r="H8" s="17">
        <f>IF(ISERROR(VLOOKUP($B8,'[1]Cost Analysis'!$C:$FO,13,FALSE)),"",VLOOKUP($B8,'[1]Cost Analysis'!$C:$FO,13,FALSE))</f>
        <v>10.95492803419279</v>
      </c>
      <c r="I8" s="16">
        <f>IF(ISERROR(VLOOKUP($B8,'[1]Cost Analysis'!$C:$FO,14,FALSE)),"",VLOOKUP($B8,'[1]Cost Analysis'!$C:$FO,14,FALSE))</f>
        <v>2.0965414096082904E-2</v>
      </c>
      <c r="J8" s="18">
        <f>IF(ISERROR(VLOOKUP($B8,'[1]Cost Analysis'!$C:$FO,15,FALSE)),"",VLOOKUP($B8,'[1]Cost Analysis'!$C:$FO,15,FALSE))</f>
        <v>1258200</v>
      </c>
      <c r="K8" s="16">
        <f>IF(ISERROR(VLOOKUP($B8,'[1]Cost Analysis'!$C:$FO,16,FALSE)),"",VLOOKUP($B8,'[1]Cost Analysis'!$C:$FO,16,FALSE))</f>
        <v>1.3365871352761193E-2</v>
      </c>
      <c r="L8" s="17">
        <f>IF(ISERROR(VLOOKUP($B8,'[1]Cost Analysis'!$C:$FO,17,FALSE)),"",VLOOKUP($B8,'[1]Cost Analysis'!$C:$FO,17,FALSE))</f>
        <v>715385.06000000238</v>
      </c>
      <c r="M8" s="17">
        <f>IF(ISERROR(VLOOKUP($B8,'[1]Cost Analysis'!$C:$FO,18,FALSE)),"",VLOOKUP($B8,'[1]Cost Analysis'!$C:$FO,18,FALSE))</f>
        <v>4.024736127455995</v>
      </c>
      <c r="N8" s="16">
        <f>IF(ISERROR(VLOOKUP($B8,'[1]Cost Analysis'!$C:$FO,19,FALSE)),"",VLOOKUP($B8,'[1]Cost Analysis'!$C:$FO,19,FALSE))</f>
        <v>7.7024932775651561E-3</v>
      </c>
      <c r="O8" s="11">
        <f>IF(ISERROR(VLOOKUP($B8,'[1]Cost Analysis'!$C:$FO,36,FALSE)),"",VLOOKUP($B8,'[1]Cost Analysis'!$C:$FO,36,FALSE))</f>
        <v>131675</v>
      </c>
      <c r="P8" s="13" t="str">
        <f>IF(ISERROR(VLOOKUP($B8,'[1]Cost Analysis'!$C:$FO,37,FALSE)),"",VLOOKUP($B8,'[1]Cost Analysis'!$C:$FO,37,FALSE))</f>
        <v>Onsite Solar electric (PV) Owned</v>
      </c>
      <c r="Q8" s="11">
        <f>VLOOKUP($B8,'[1]Cost Analysis'!$C:$FO,39,FALSE)</f>
        <v>180155</v>
      </c>
      <c r="R8" s="11">
        <f>VLOOKUP($B8,'[1]Cost Analysis'!$C:$FO,40,FALSE)</f>
        <v>157525</v>
      </c>
      <c r="S8" s="13">
        <f>VLOOKUP($B8,'[1]Cost Analysis'!$C:$FO,41,FALSE)</f>
        <v>1</v>
      </c>
      <c r="T8" s="13">
        <f>VLOOKUP($B8,'[1]Cost Analysis'!$C:$FO,42,FALSE)</f>
        <v>10</v>
      </c>
      <c r="U8" s="13">
        <f>VLOOKUP($B8,'[1]Cost Analysis'!$C:$FO,43,FALSE)</f>
        <v>178</v>
      </c>
      <c r="V8" s="13" t="str">
        <f>VLOOKUP($B8,'[1]Cost Analysis'!$C:$FO,44,FALSE)</f>
        <v>ASHRAE</v>
      </c>
      <c r="W8" s="13" t="str">
        <f>VLOOKUP($B8,'[1]Cost Analysis'!$C:$FO,45,FALSE)</f>
        <v>NYC</v>
      </c>
      <c r="X8" s="15" t="str">
        <f>VLOOKUP($B8,'[1]Cost Analysis'!$C:$FO,46,FALSE)</f>
        <v>Fossil Fuels</v>
      </c>
      <c r="Y8" s="14" t="str">
        <f>VLOOKUP($B8,'[1]Cost Analysis'!$C:$FO,47,FALSE)</f>
        <v>LMI</v>
      </c>
      <c r="Z8" s="13" t="str">
        <f>VLOOKUP($B8,'[1]Cost Analysis'!$C:$FO,48,FALSE)</f>
        <v>Yes</v>
      </c>
      <c r="AA8" s="13" t="str">
        <f>VLOOKUP($B8,'[1]Cost Analysis'!$C:$FO,49,FALSE)</f>
        <v>Block and Plank</v>
      </c>
      <c r="AB8" s="13" t="str">
        <f>VLOOKUP($B8,'[1]Cost Analysis'!$C:$FO,50,FALSE)</f>
        <v>VRF - ASHP</v>
      </c>
      <c r="AC8" s="13" t="str">
        <f>VLOOKUP($B8,'[1]Cost Analysis'!$C:$FO,51,FALSE)</f>
        <v>ERV</v>
      </c>
      <c r="AD8" s="13" t="str">
        <f>VLOOKUP($B8,'[1]Cost Analysis'!$C:$FO,52,FALSE)</f>
        <v>Fossil Fuel</v>
      </c>
      <c r="AE8" s="13" t="str">
        <f>VLOOKUP($B8,'[1]Cost Analysis'!$C:$FO,53,FALSE)</f>
        <v>Yes</v>
      </c>
      <c r="AF8" s="13" t="str">
        <f>VLOOKUP($B8,'[1]Cost Analysis'!$C:$FO,54,FALSE)</f>
        <v>Mid Rise</v>
      </c>
      <c r="AG8" s="13" t="str">
        <f>IF(VLOOKUP($B8,'[1]Cost Analysis'!$C:$FO,55,FALSE)="PV","Yes","No")</f>
        <v>Yes</v>
      </c>
      <c r="AH8" s="13" t="str">
        <f>VLOOKUP($B8,'[1]Cost Analysis'!$C:$FO,57,FALSE)</f>
        <v>No</v>
      </c>
      <c r="AI8" s="13" t="str">
        <f>VLOOKUP($B8,'[1]Cost Analysis'!$C:$FO,58,FALSE)</f>
        <v>No</v>
      </c>
      <c r="AJ8" s="13" t="str">
        <f>VLOOKUP($B8,'[1]Cost Analysis'!$C:$FO,59,FALSE)</f>
        <v>No</v>
      </c>
      <c r="AK8" s="13">
        <f>VLOOKUP($B8,'[1]Cost Analysis'!$C:$FO,60,FALSE)</f>
        <v>4</v>
      </c>
      <c r="AL8" s="13" t="str">
        <f>VLOOKUP($B8,'[1]Cost Analysis'!$C:$FO,61,FALSE)</f>
        <v>Yes</v>
      </c>
      <c r="AM8" s="13" t="str">
        <f>VLOOKUP($B8,'[1]Cost Analysis'!$C:$FO,62,FALSE)</f>
        <v>NC</v>
      </c>
      <c r="AN8" s="12" t="str">
        <f>VLOOKUP($B8,'[1]Cost Analysis'!$C:$FO,63,FALSE)</f>
        <v>2014 ECCC of NYS</v>
      </c>
      <c r="AO8" s="12" t="str">
        <f>VLOOKUP($B8,'[1]Cost Analysis'!$C:$FO,67,FALSE)</f>
        <v>Yes</v>
      </c>
      <c r="AP8" s="12" t="str">
        <f>VLOOKUP($B8,'[1]Cost Analysis'!$C:$FO,69,FALSE)</f>
        <v>Yes</v>
      </c>
      <c r="AQ8" s="11">
        <f>VLOOKUP($B8,'[1]Cost Analysis'!$C:$FO,74,FALSE)</f>
        <v>3381094</v>
      </c>
      <c r="AR8" s="11">
        <f>VLOOKUP($B8,'[1]Cost Analysis'!$C:$FO,75,FALSE)</f>
        <v>3249419</v>
      </c>
      <c r="AS8" s="10">
        <f>IF(ISERROR(VLOOKUP($B8,'[1]Cost Analysis'!$C:$FO,76,FALSE)),"",VLOOKUP($B8,'[1]Cost Analysis'!$C:$FO,76,FALSE))</f>
        <v>3.8944495479865393E-2</v>
      </c>
      <c r="AT8" s="9">
        <f>VLOOKUP($B8,'[1]Cost Analysis'!$C:$FO,78,FALSE)</f>
        <v>209462.04</v>
      </c>
      <c r="AU8" s="9">
        <f>VLOOKUP($B8,'[1]Cost Analysis'!$C:$FO,82,FALSE)</f>
        <v>1.3297066497381369</v>
      </c>
      <c r="AV8" s="8">
        <f>VLOOKUP($B8,'[1]Cost Analysis'!$C:$FO,83,FALSE)</f>
        <v>18.036796092253894</v>
      </c>
      <c r="AW8" s="7">
        <f>IF(VLOOKUP($B8,'[1]Cost Analysis'!$C:$FO,86,FALSE)=0,"",VLOOKUP($B8,'[1]Cost Analysis'!$C:$FO,86,FALSE))</f>
        <v>2028100</v>
      </c>
      <c r="AX8" s="7">
        <f>IF(VLOOKUP($B8,'[1]Cost Analysis'!$C:$FO,87,FALSE)=0,"",VLOOKUP($B8,'[1]Cost Analysis'!$C:$FO,87,FALSE))</f>
        <v>8918168</v>
      </c>
      <c r="AY8" s="7">
        <f>IF(VLOOKUP($B8,'[1]Cost Analysis'!$C:$FO,88,FALSE)=0,"",VLOOKUP($B8,'[1]Cost Analysis'!$C:$FO,88,FALSE))</f>
        <v>91500</v>
      </c>
      <c r="AZ8" s="7">
        <f>IF(VLOOKUP($B8,'[1]Cost Analysis'!$C:$FO,89,FALSE)=0,"",VLOOKUP($B8,'[1]Cost Analysis'!$C:$FO,89,FALSE))</f>
        <v>404336</v>
      </c>
      <c r="BA8" s="7">
        <f>IF(VLOOKUP($B8,'[1]Cost Analysis'!$C:$FO,90,FALSE)=0,"",VLOOKUP($B8,'[1]Cost Analysis'!$C:$FO,90,FALSE))</f>
        <v>339261</v>
      </c>
      <c r="BB8" s="7">
        <f>IF(VLOOKUP($B8,'[1]Cost Analysis'!$C:$FO,91,FALSE)=0,"",VLOOKUP($B8,'[1]Cost Analysis'!$C:$FO,91,FALSE))</f>
        <v>639515.63</v>
      </c>
      <c r="BC8" s="7">
        <f>IF(VLOOKUP($B8,'[1]Cost Analysis'!$C:$FO,92,FALSE)=0,"",VLOOKUP($B8,'[1]Cost Analysis'!$C:$FO,92,FALSE))</f>
        <v>403739.06</v>
      </c>
      <c r="BD8" s="7">
        <f>IF(VLOOKUP($B8,'[1]Cost Analysis'!$C:$FO,93,FALSE)=0,"",VLOOKUP($B8,'[1]Cost Analysis'!$C:$FO,93,FALSE))</f>
        <v>45775</v>
      </c>
      <c r="BE8" s="7">
        <f>IF(VLOOKUP($B8,'[1]Cost Analysis'!$C:$FO,94,FALSE)=0,"",VLOOKUP($B8,'[1]Cost Analysis'!$C:$FO,94,FALSE))</f>
        <v>100000</v>
      </c>
      <c r="BF8" s="7">
        <f>IF(VLOOKUP($B8,'[1]Cost Analysis'!$C:$FO,95,FALSE)=0,"",VLOOKUP($B8,'[1]Cost Analysis'!$C:$FO,95,FALSE))</f>
        <v>81164882.149999991</v>
      </c>
      <c r="BG8" s="7">
        <f>IF(VLOOKUP($B8,'[1]Cost Analysis'!$C:$FO,96,FALSE)=0,"",VLOOKUP($B8,'[1]Cost Analysis'!$C:$FO,96,FALSE))</f>
        <v>94135276.839999989</v>
      </c>
      <c r="BH8" s="7">
        <f>IF(VLOOKUP($B8,'[1]Cost Analysis'!$C:$FO,97,FALSE)=0,"",VLOOKUP($B8,'[1]Cost Analysis'!$C:$FO,97,FALSE))</f>
        <v>-300000</v>
      </c>
      <c r="BI8" s="7">
        <f>IF(VLOOKUP($B8,'[1]Cost Analysis'!$C:$FO,98,FALSE)=0,"",VLOOKUP($B8,'[1]Cost Analysis'!$C:$FO,98,FALSE))</f>
        <v>-78200</v>
      </c>
      <c r="BJ8" s="7">
        <f>IF(VLOOKUP($B8,'[1]Cost Analysis'!$C:$FO,99,FALSE)=0,"",VLOOKUP($B8,'[1]Cost Analysis'!$C:$FO,99,FALSE))</f>
        <v>-130000</v>
      </c>
      <c r="BK8" s="7" t="str">
        <f>IF(VLOOKUP($B8,'[1]Cost Analysis'!$C:$FO,100,FALSE)=0,"",VLOOKUP($B8,'[1]Cost Analysis'!$C:$FO,100,FALSE))</f>
        <v/>
      </c>
      <c r="BL8" s="7" t="str">
        <f>IF(VLOOKUP($B8,'[1]Cost Analysis'!$C:$FO,101,FALSE)=0,"",VLOOKUP($B8,'[1]Cost Analysis'!$C:$FO,101,FALSE))</f>
        <v/>
      </c>
      <c r="BM8" s="7" t="str">
        <f>IF(VLOOKUP($B8,'[1]Cost Analysis'!$C:$FO,102,FALSE)=0,"",VLOOKUP($B8,'[1]Cost Analysis'!$C:$FO,102,FALSE))</f>
        <v/>
      </c>
      <c r="BN8" s="7" t="str">
        <f>IF(VLOOKUP($B8,'[1]Cost Analysis'!$C:$FO,103,FALSE)=0,"",VLOOKUP($B8,'[1]Cost Analysis'!$C:$FO,103,FALSE))</f>
        <v/>
      </c>
      <c r="BO8" s="7">
        <f>IF(VLOOKUP($B8,'[1]Cost Analysis'!$C:$FO,104,FALSE)=0,"",VLOOKUP($B8,'[1]Cost Analysis'!$C:$FO,104,FALSE))</f>
        <v>-508200</v>
      </c>
      <c r="BP8" s="7">
        <f>IF(VLOOKUP($B8,'[1]Cost Analysis'!$C:$FO,105,FALSE)=0,"",VLOOKUP($B8,'[1]Cost Analysis'!$C:$FO,105,FALSE))</f>
        <v>-750000</v>
      </c>
      <c r="BQ8" s="7" t="str">
        <f>IF(VLOOKUP($B8,'[1]Cost Analysis'!$C:$FO,106,FALSE)=0,"",VLOOKUP($B8,'[1]Cost Analysis'!$C:$FO,106,FALSE))</f>
        <v/>
      </c>
      <c r="BR8" s="7" t="str">
        <f>IF(VLOOKUP($B8,'[1]Cost Analysis'!$C:$FO,107,FALSE)=0,"",VLOOKUP($B8,'[1]Cost Analysis'!$C:$FO,107,FALSE))</f>
        <v/>
      </c>
      <c r="BS8" s="7" t="str">
        <f>IF(VLOOKUP($B8,'[1]Cost Analysis'!$C:$FO,108,FALSE)=0,"",VLOOKUP($B8,'[1]Cost Analysis'!$C:$FO,108,FALSE))</f>
        <v/>
      </c>
      <c r="BT8" s="7" t="str">
        <f>IF(VLOOKUP($B8,'[1]Cost Analysis'!$C:$FO,109,FALSE)=0,"",VLOOKUP($B8,'[1]Cost Analysis'!$C:$FO,109,FALSE))</f>
        <v/>
      </c>
      <c r="BU8" s="7" t="str">
        <f>IF(VLOOKUP($B8,'[1]Cost Analysis'!$C:$FO,110,FALSE)=0,"",VLOOKUP($B8,'[1]Cost Analysis'!$C:$FO,110,FALSE))</f>
        <v/>
      </c>
      <c r="BV8" s="7" t="str">
        <f>IF(VLOOKUP($B8,'[1]Cost Analysis'!$C:$FO,111,FALSE)=0,"",VLOOKUP($B8,'[1]Cost Analysis'!$C:$FO,111,FALSE))</f>
        <v/>
      </c>
      <c r="BW8" s="7">
        <f>IF(VLOOKUP($B8,'[1]Cost Analysis'!$C:$FO,112,FALSE)=0,"",VLOOKUP($B8,'[1]Cost Analysis'!$C:$FO,112,FALSE))</f>
        <v>92877076.839999989</v>
      </c>
      <c r="BX8" s="7">
        <f>IF(VLOOKUP($B8,'[1]Cost Analysis'!$C:$FO,125,FALSE)=0,"",VLOOKUP($B8,'[1]Cost Analysis'!$C:$FO,125,FALSE))</f>
        <v>1138100</v>
      </c>
      <c r="BY8" s="7">
        <f>IF(VLOOKUP($B8,'[1]Cost Analysis'!$C:$FO,126,FALSE)=0,"",VLOOKUP($B8,'[1]Cost Analysis'!$C:$FO,126,FALSE))</f>
        <v>8552583</v>
      </c>
      <c r="BZ8" s="7">
        <f>IF(VLOOKUP($B8,'[1]Cost Analysis'!$C:$FO,127,FALSE)=0,"",VLOOKUP($B8,'[1]Cost Analysis'!$C:$FO,127,FALSE))</f>
        <v>91500</v>
      </c>
      <c r="CA8" s="7">
        <f>IF(VLOOKUP($B8,'[1]Cost Analysis'!$C:$FO,128,FALSE)=0,"",VLOOKUP($B8,'[1]Cost Analysis'!$C:$FO,128,FALSE))</f>
        <v>404336</v>
      </c>
      <c r="CB8" s="7">
        <f>IF(VLOOKUP($B8,'[1]Cost Analysis'!$C:$FO,129,FALSE)=0,"",VLOOKUP($B8,'[1]Cost Analysis'!$C:$FO,129,FALSE))</f>
        <v>25000</v>
      </c>
      <c r="CC8" s="7">
        <f>IF(VLOOKUP($B8,'[1]Cost Analysis'!$C:$FO,130,FALSE)=0,"",VLOOKUP($B8,'[1]Cost Analysis'!$C:$FO,130,FALSE))</f>
        <v>639515.63</v>
      </c>
      <c r="CD8" s="7" t="str">
        <f>IF(VLOOKUP($B8,'[1]Cost Analysis'!$C:$FO,131,FALSE)=0,"",VLOOKUP($B8,'[1]Cost Analysis'!$C:$FO,131,FALSE))</f>
        <v/>
      </c>
      <c r="CE8" s="7">
        <f>IF(VLOOKUP($B8,'[1]Cost Analysis'!$C:$FO,132,FALSE)=0,"",VLOOKUP($B8,'[1]Cost Analysis'!$C:$FO,132,FALSE))</f>
        <v>45775</v>
      </c>
      <c r="CF8" s="7">
        <f>IF(VLOOKUP($B8,'[1]Cost Analysis'!$C:$FO,133,FALSE)=0,"",VLOOKUP($B8,'[1]Cost Analysis'!$C:$FO,133,FALSE))</f>
        <v>100000</v>
      </c>
      <c r="CG8" s="7">
        <f>IF(VLOOKUP($B8,'[1]Cost Analysis'!$C:$FO,134,FALSE)=0,"",VLOOKUP($B8,'[1]Cost Analysis'!$C:$FO,134,FALSE))</f>
        <v>81164882.149999991</v>
      </c>
      <c r="CH8" s="7">
        <f>IF(VLOOKUP($B8,'[1]Cost Analysis'!$C:$FO,135,FALSE)=0,"",VLOOKUP($B8,'[1]Cost Analysis'!$C:$FO,135,FALSE))</f>
        <v>92161691.779999986</v>
      </c>
      <c r="CI8" s="7" t="str">
        <f>IF(VLOOKUP($B8,'[1]Cost Analysis'!$C:$FO,136,FALSE)=0,"",VLOOKUP($B8,'[1]Cost Analysis'!$C:$FO,136,FALSE))</f>
        <v/>
      </c>
      <c r="CJ8" s="7" t="str">
        <f>IF(VLOOKUP($B8,'[1]Cost Analysis'!$C:$FO,137,FALSE)=0,"",VLOOKUP($B8,'[1]Cost Analysis'!$C:$FO,137,FALSE))</f>
        <v/>
      </c>
      <c r="CK8" s="7" t="str">
        <f>IF(VLOOKUP($B8,'[1]Cost Analysis'!$C:$FO,138,FALSE)=0,"",VLOOKUP($B8,'[1]Cost Analysis'!$C:$FO,138,FALSE))</f>
        <v/>
      </c>
      <c r="CL8" s="7">
        <f>IF(VLOOKUP($B8,'[1]Cost Analysis'!$C:$FO,139,FALSE)=0,"",VLOOKUP($B8,'[1]Cost Analysis'!$C:$FO,139,FALSE))</f>
        <v>92161691.779999986</v>
      </c>
    </row>
    <row r="9" spans="1:90" ht="30" x14ac:dyDescent="0.25">
      <c r="A9" s="13" t="s">
        <v>31</v>
      </c>
      <c r="B9" s="13" t="s">
        <v>51</v>
      </c>
      <c r="C9" s="19" t="str">
        <f>VLOOKUP($B9,'[1]Cost Analysis'!$C:$FO,7,FALSE)</f>
        <v>Milestone 2</v>
      </c>
      <c r="D9" s="19" t="str">
        <f>VLOOKUP($B9,'[1]Cost Analysis'!$C:$FO,8,FALSE)</f>
        <v>Under Construction</v>
      </c>
      <c r="E9" s="18">
        <f>IF(ISERROR(VLOOKUP($B9,'[1]Cost Analysis'!$C:$FO,9,FALSE)),"",VLOOKUP($B9,'[1]Cost Analysis'!$C:$FO,9,FALSE))</f>
        <v>27515301.850000005</v>
      </c>
      <c r="F9" s="17">
        <f>IF(ISERROR(VLOOKUP($B9,'[1]Cost Analysis'!$C:$FO,10,FALSE)),"",VLOOKUP($B9,'[1]Cost Analysis'!$C:$FO,10,FALSE))</f>
        <v>425.11088219389734</v>
      </c>
      <c r="G9" s="9">
        <f>IF(ISERROR(VLOOKUP($B9,'[1]Cost Analysis'!$C:$FO,12,FALSE)),"",VLOOKUP($B9,'[1]Cost Analysis'!$C:$FO,12,FALSE))</f>
        <v>1359800</v>
      </c>
      <c r="H9" s="17">
        <f>IF(ISERROR(VLOOKUP($B9,'[1]Cost Analysis'!$C:$FO,13,FALSE)),"",VLOOKUP($B9,'[1]Cost Analysis'!$C:$FO,13,FALSE))</f>
        <v>16.405987022016248</v>
      </c>
      <c r="I9" s="16">
        <f>IF(ISERROR(VLOOKUP($B9,'[1]Cost Analysis'!$C:$FO,14,FALSE)),"",VLOOKUP($B9,'[1]Cost Analysis'!$C:$FO,14,FALSE))</f>
        <v>3.8592253713545993E-2</v>
      </c>
      <c r="J9" s="18">
        <f>IF(ISERROR(VLOOKUP($B9,'[1]Cost Analysis'!$C:$FO,15,FALSE)),"",VLOOKUP($B9,'[1]Cost Analysis'!$C:$FO,15,FALSE))</f>
        <v>695054</v>
      </c>
      <c r="K9" s="16">
        <f>IF(ISERROR(VLOOKUP($B9,'[1]Cost Analysis'!$C:$FO,16,FALSE)),"",VLOOKUP($B9,'[1]Cost Analysis'!$C:$FO,16,FALSE))</f>
        <v>2.5260635110931913E-2</v>
      </c>
      <c r="L9" s="17">
        <f>IF(ISERROR(VLOOKUP($B9,'[1]Cost Analysis'!$C:$FO,17,FALSE)),"",VLOOKUP($B9,'[1]Cost Analysis'!$C:$FO,17,FALSE))</f>
        <v>288080.51000000164</v>
      </c>
      <c r="M9" s="17">
        <f>IF(ISERROR(VLOOKUP($B9,'[1]Cost Analysis'!$C:$FO,18,FALSE)),"",VLOOKUP($B9,'[1]Cost Analysis'!$C:$FO,18,FALSE))</f>
        <v>5.8142887723374486</v>
      </c>
      <c r="N9" s="16">
        <f>IF(ISERROR(VLOOKUP($B9,'[1]Cost Analysis'!$C:$FO,19,FALSE)),"",VLOOKUP($B9,'[1]Cost Analysis'!$C:$FO,19,FALSE))</f>
        <v>1.3677111115884098E-2</v>
      </c>
      <c r="O9" s="11">
        <f>IF(ISERROR(VLOOKUP($B9,'[1]Cost Analysis'!$C:$FO,36,FALSE)),"",VLOOKUP($B9,'[1]Cost Analysis'!$C:$FO,36,FALSE))</f>
        <v>62783</v>
      </c>
      <c r="P9" s="13" t="str">
        <f>IF(ISERROR(VLOOKUP($B9,'[1]Cost Analysis'!$C:$FO,37,FALSE)),"",VLOOKUP($B9,'[1]Cost Analysis'!$C:$FO,37,FALSE))</f>
        <v>Onsite Solar electric (PV) Owned</v>
      </c>
      <c r="Q9" s="11">
        <f>VLOOKUP($B9,'[1]Cost Analysis'!$C:$FO,39,FALSE)</f>
        <v>64725</v>
      </c>
      <c r="R9" s="11">
        <f>VLOOKUP($B9,'[1]Cost Analysis'!$C:$FO,40,FALSE)</f>
        <v>55672</v>
      </c>
      <c r="S9" s="13">
        <f>VLOOKUP($B9,'[1]Cost Analysis'!$C:$FO,41,FALSE)</f>
        <v>1</v>
      </c>
      <c r="T9" s="13">
        <f>VLOOKUP($B9,'[1]Cost Analysis'!$C:$FO,42,FALSE)</f>
        <v>24</v>
      </c>
      <c r="U9" s="13">
        <f>VLOOKUP($B9,'[1]Cost Analysis'!$C:$FO,43,FALSE)</f>
        <v>55</v>
      </c>
      <c r="V9" s="13" t="str">
        <f>VLOOKUP($B9,'[1]Cost Analysis'!$C:$FO,44,FALSE)</f>
        <v>PHI</v>
      </c>
      <c r="W9" s="13" t="str">
        <f>VLOOKUP($B9,'[1]Cost Analysis'!$C:$FO,45,FALSE)</f>
        <v>NYC</v>
      </c>
      <c r="X9" s="15" t="str">
        <f>VLOOKUP($B9,'[1]Cost Analysis'!$C:$FO,46,FALSE)</f>
        <v>Fossil Fuels</v>
      </c>
      <c r="Y9" s="14" t="str">
        <f>VLOOKUP($B9,'[1]Cost Analysis'!$C:$FO,47,FALSE)</f>
        <v>Market Rate</v>
      </c>
      <c r="Z9" s="13" t="str">
        <f>VLOOKUP($B9,'[1]Cost Analysis'!$C:$FO,48,FALSE)</f>
        <v>Yes</v>
      </c>
      <c r="AA9" s="13" t="str">
        <f>VLOOKUP($B9,'[1]Cost Analysis'!$C:$FO,49,FALSE)</f>
        <v>Block and Plank</v>
      </c>
      <c r="AB9" s="13" t="str">
        <f>VLOOKUP($B9,'[1]Cost Analysis'!$C:$FO,50,FALSE)</f>
        <v>Minisplit - ASHP</v>
      </c>
      <c r="AC9" s="13" t="str">
        <f>VLOOKUP($B9,'[1]Cost Analysis'!$C:$FO,51,FALSE)</f>
        <v>ERV</v>
      </c>
      <c r="AD9" s="13" t="str">
        <f>VLOOKUP($B9,'[1]Cost Analysis'!$C:$FO,52,FALSE)</f>
        <v>Fossil Fuel</v>
      </c>
      <c r="AE9" s="13" t="str">
        <f>VLOOKUP($B9,'[1]Cost Analysis'!$C:$FO,53,FALSE)</f>
        <v>Yes</v>
      </c>
      <c r="AF9" s="13" t="str">
        <f>VLOOKUP($B9,'[1]Cost Analysis'!$C:$FO,54,FALSE)</f>
        <v>Mid Rise</v>
      </c>
      <c r="AG9" s="13" t="str">
        <f>IF(VLOOKUP($B9,'[1]Cost Analysis'!$C:$FO,55,FALSE)="PV","Yes","No")</f>
        <v>Yes</v>
      </c>
      <c r="AH9" s="13" t="str">
        <f>VLOOKUP($B9,'[1]Cost Analysis'!$C:$FO,57,FALSE)</f>
        <v>No</v>
      </c>
      <c r="AI9" s="13" t="str">
        <f>VLOOKUP($B9,'[1]Cost Analysis'!$C:$FO,58,FALSE)</f>
        <v>No</v>
      </c>
      <c r="AJ9" s="13" t="str">
        <f>VLOOKUP($B9,'[1]Cost Analysis'!$C:$FO,59,FALSE)</f>
        <v>No</v>
      </c>
      <c r="AK9" s="13">
        <f>VLOOKUP($B9,'[1]Cost Analysis'!$C:$FO,60,FALSE)</f>
        <v>4</v>
      </c>
      <c r="AL9" s="13" t="str">
        <f>VLOOKUP($B9,'[1]Cost Analysis'!$C:$FO,61,FALSE)</f>
        <v>Yes</v>
      </c>
      <c r="AM9" s="13" t="str">
        <f>VLOOKUP($B9,'[1]Cost Analysis'!$C:$FO,62,FALSE)</f>
        <v>NC</v>
      </c>
      <c r="AN9" s="12" t="str">
        <f>VLOOKUP($B9,'[1]Cost Analysis'!$C:$FO,63,FALSE)</f>
        <v>2014 ECCC of NYS</v>
      </c>
      <c r="AO9" s="12" t="str">
        <f>VLOOKUP($B9,'[1]Cost Analysis'!$C:$FO,67,FALSE)</f>
        <v>No</v>
      </c>
      <c r="AP9" s="12" t="str">
        <f>VLOOKUP($B9,'[1]Cost Analysis'!$C:$FO,69,FALSE)</f>
        <v>Yes</v>
      </c>
      <c r="AQ9" s="11">
        <f>VLOOKUP($B9,'[1]Cost Analysis'!$C:$FO,74,FALSE)</f>
        <v>1298297</v>
      </c>
      <c r="AR9" s="11">
        <f>VLOOKUP($B9,'[1]Cost Analysis'!$C:$FO,75,FALSE)</f>
        <v>1235514</v>
      </c>
      <c r="AS9" s="10">
        <f>IF(ISERROR(VLOOKUP($B9,'[1]Cost Analysis'!$C:$FO,76,FALSE)),"",VLOOKUP($B9,'[1]Cost Analysis'!$C:$FO,76,FALSE))</f>
        <v>4.8357964317871795E-2</v>
      </c>
      <c r="AT9" s="9">
        <f>VLOOKUP($B9,'[1]Cost Analysis'!$C:$FO,78,FALSE)</f>
        <v>76016.97</v>
      </c>
      <c r="AU9" s="9">
        <f>VLOOKUP($B9,'[1]Cost Analysis'!$C:$FO,82,FALSE)</f>
        <v>1.3654434904440294</v>
      </c>
      <c r="AV9" s="8">
        <f>VLOOKUP($B9,'[1]Cost Analysis'!$C:$FO,83,FALSE)</f>
        <v>19.0886674391657</v>
      </c>
      <c r="AW9" s="7">
        <f>IF(VLOOKUP($B9,'[1]Cost Analysis'!$C:$FO,86,FALSE)=0,"",VLOOKUP($B9,'[1]Cost Analysis'!$C:$FO,86,FALSE))</f>
        <v>1755748.5</v>
      </c>
      <c r="AX9" s="7">
        <f>IF(VLOOKUP($B9,'[1]Cost Analysis'!$C:$FO,87,FALSE)=0,"",VLOOKUP($B9,'[1]Cost Analysis'!$C:$FO,87,FALSE))</f>
        <v>5414207.7699999996</v>
      </c>
      <c r="AY9" s="7">
        <f>IF(VLOOKUP($B9,'[1]Cost Analysis'!$C:$FO,88,FALSE)=0,"",VLOOKUP($B9,'[1]Cost Analysis'!$C:$FO,88,FALSE))</f>
        <v>356582</v>
      </c>
      <c r="AZ9" s="7">
        <f>IF(VLOOKUP($B9,'[1]Cost Analysis'!$C:$FO,89,FALSE)=0,"",VLOOKUP($B9,'[1]Cost Analysis'!$C:$FO,89,FALSE))</f>
        <v>462963.94</v>
      </c>
      <c r="BA9" s="7">
        <f>IF(VLOOKUP($B9,'[1]Cost Analysis'!$C:$FO,90,FALSE)=0,"",VLOOKUP($B9,'[1]Cost Analysis'!$C:$FO,90,FALSE))</f>
        <v>157000</v>
      </c>
      <c r="BB9" s="7">
        <f>IF(VLOOKUP($B9,'[1]Cost Analysis'!$C:$FO,91,FALSE)=0,"",VLOOKUP($B9,'[1]Cost Analysis'!$C:$FO,91,FALSE))</f>
        <v>246715.67</v>
      </c>
      <c r="BC9" s="7">
        <f>IF(VLOOKUP($B9,'[1]Cost Analysis'!$C:$FO,92,FALSE)=0,"",VLOOKUP($B9,'[1]Cost Analysis'!$C:$FO,92,FALSE))</f>
        <v>50000</v>
      </c>
      <c r="BD9" s="7">
        <f>IF(VLOOKUP($B9,'[1]Cost Analysis'!$C:$FO,93,FALSE)=0,"",VLOOKUP($B9,'[1]Cost Analysis'!$C:$FO,93,FALSE))</f>
        <v>53050</v>
      </c>
      <c r="BE9" s="7">
        <f>IF(VLOOKUP($B9,'[1]Cost Analysis'!$C:$FO,94,FALSE)=0,"",VLOOKUP($B9,'[1]Cost Analysis'!$C:$FO,94,FALSE))</f>
        <v>198249.76</v>
      </c>
      <c r="BF9" s="7">
        <f>IF(VLOOKUP($B9,'[1]Cost Analysis'!$C:$FO,95,FALSE)=0,"",VLOOKUP($B9,'[1]Cost Analysis'!$C:$FO,95,FALSE))</f>
        <v>18820784.210000005</v>
      </c>
      <c r="BG9" s="7">
        <f>IF(VLOOKUP($B9,'[1]Cost Analysis'!$C:$FO,96,FALSE)=0,"",VLOOKUP($B9,'[1]Cost Analysis'!$C:$FO,96,FALSE))</f>
        <v>27515301.850000005</v>
      </c>
      <c r="BH9" s="7">
        <f>IF(VLOOKUP($B9,'[1]Cost Analysis'!$C:$FO,97,FALSE)=0,"",VLOOKUP($B9,'[1]Cost Analysis'!$C:$FO,97,FALSE))</f>
        <v>-139050</v>
      </c>
      <c r="BI9" s="7">
        <f>IF(VLOOKUP($B9,'[1]Cost Analysis'!$C:$FO,98,FALSE)=0,"",VLOOKUP($B9,'[1]Cost Analysis'!$C:$FO,98,FALSE))</f>
        <v>-6610</v>
      </c>
      <c r="BJ9" s="7" t="str">
        <f>IF(VLOOKUP($B9,'[1]Cost Analysis'!$C:$FO,99,FALSE)=0,"",VLOOKUP($B9,'[1]Cost Analysis'!$C:$FO,99,FALSE))</f>
        <v/>
      </c>
      <c r="BK9" s="7" t="str">
        <f>IF(VLOOKUP($B9,'[1]Cost Analysis'!$C:$FO,100,FALSE)=0,"",VLOOKUP($B9,'[1]Cost Analysis'!$C:$FO,100,FALSE))</f>
        <v/>
      </c>
      <c r="BL9" s="7" t="str">
        <f>IF(VLOOKUP($B9,'[1]Cost Analysis'!$C:$FO,101,FALSE)=0,"",VLOOKUP($B9,'[1]Cost Analysis'!$C:$FO,101,FALSE))</f>
        <v/>
      </c>
      <c r="BM9" s="7" t="str">
        <f>IF(VLOOKUP($B9,'[1]Cost Analysis'!$C:$FO,102,FALSE)=0,"",VLOOKUP($B9,'[1]Cost Analysis'!$C:$FO,102,FALSE))</f>
        <v/>
      </c>
      <c r="BN9" s="7" t="str">
        <f>IF(VLOOKUP($B9,'[1]Cost Analysis'!$C:$FO,103,FALSE)=0,"",VLOOKUP($B9,'[1]Cost Analysis'!$C:$FO,103,FALSE))</f>
        <v/>
      </c>
      <c r="BO9" s="7">
        <f>IF(VLOOKUP($B9,'[1]Cost Analysis'!$C:$FO,104,FALSE)=0,"",VLOOKUP($B9,'[1]Cost Analysis'!$C:$FO,104,FALSE))</f>
        <v>-145660</v>
      </c>
      <c r="BP9" s="7">
        <f>IF(VLOOKUP($B9,'[1]Cost Analysis'!$C:$FO,105,FALSE)=0,"",VLOOKUP($B9,'[1]Cost Analysis'!$C:$FO,105,FALSE))</f>
        <v>-500000</v>
      </c>
      <c r="BQ9" s="7">
        <f>IF(VLOOKUP($B9,'[1]Cost Analysis'!$C:$FO,106,FALSE)=0,"",VLOOKUP($B9,'[1]Cost Analysis'!$C:$FO,106,FALSE))</f>
        <v>-49394</v>
      </c>
      <c r="BR9" s="7" t="str">
        <f>IF(VLOOKUP($B9,'[1]Cost Analysis'!$C:$FO,107,FALSE)=0,"",VLOOKUP($B9,'[1]Cost Analysis'!$C:$FO,107,FALSE))</f>
        <v/>
      </c>
      <c r="BS9" s="7" t="str">
        <f>IF(VLOOKUP($B9,'[1]Cost Analysis'!$C:$FO,108,FALSE)=0,"",VLOOKUP($B9,'[1]Cost Analysis'!$C:$FO,108,FALSE))</f>
        <v/>
      </c>
      <c r="BT9" s="7" t="str">
        <f>IF(VLOOKUP($B9,'[1]Cost Analysis'!$C:$FO,109,FALSE)=0,"",VLOOKUP($B9,'[1]Cost Analysis'!$C:$FO,109,FALSE))</f>
        <v/>
      </c>
      <c r="BU9" s="7" t="str">
        <f>IF(VLOOKUP($B9,'[1]Cost Analysis'!$C:$FO,110,FALSE)=0,"",VLOOKUP($B9,'[1]Cost Analysis'!$C:$FO,110,FALSE))</f>
        <v/>
      </c>
      <c r="BV9" s="7">
        <f>IF(VLOOKUP($B9,'[1]Cost Analysis'!$C:$FO,111,FALSE)=0,"",VLOOKUP($B9,'[1]Cost Analysis'!$C:$FO,111,FALSE))</f>
        <v>-49394</v>
      </c>
      <c r="BW9" s="7">
        <f>IF(VLOOKUP($B9,'[1]Cost Analysis'!$C:$FO,112,FALSE)=0,"",VLOOKUP($B9,'[1]Cost Analysis'!$C:$FO,112,FALSE))</f>
        <v>26820247.850000005</v>
      </c>
      <c r="BX9" s="7">
        <f>IF(VLOOKUP($B9,'[1]Cost Analysis'!$C:$FO,125,FALSE)=0,"",VLOOKUP($B9,'[1]Cost Analysis'!$C:$FO,125,FALSE))</f>
        <v>2005748.5</v>
      </c>
      <c r="BY9" s="7">
        <f>IF(VLOOKUP($B9,'[1]Cost Analysis'!$C:$FO,126,FALSE)=0,"",VLOOKUP($B9,'[1]Cost Analysis'!$C:$FO,126,FALSE))</f>
        <v>4737497.7699999996</v>
      </c>
      <c r="BZ9" s="7">
        <f>IF(VLOOKUP($B9,'[1]Cost Analysis'!$C:$FO,127,FALSE)=0,"",VLOOKUP($B9,'[1]Cost Analysis'!$C:$FO,127,FALSE))</f>
        <v>306582</v>
      </c>
      <c r="CA9" s="7">
        <f>IF(VLOOKUP($B9,'[1]Cost Analysis'!$C:$FO,128,FALSE)=0,"",VLOOKUP($B9,'[1]Cost Analysis'!$C:$FO,128,FALSE))</f>
        <v>352963.94</v>
      </c>
      <c r="CB9" s="7" t="str">
        <f>IF(VLOOKUP($B9,'[1]Cost Analysis'!$C:$FO,129,FALSE)=0,"",VLOOKUP($B9,'[1]Cost Analysis'!$C:$FO,129,FALSE))</f>
        <v/>
      </c>
      <c r="CC9" s="7">
        <f>IF(VLOOKUP($B9,'[1]Cost Analysis'!$C:$FO,130,FALSE)=0,"",VLOOKUP($B9,'[1]Cost Analysis'!$C:$FO,130,FALSE))</f>
        <v>226715.67</v>
      </c>
      <c r="CD9" s="7" t="str">
        <f>IF(VLOOKUP($B9,'[1]Cost Analysis'!$C:$FO,131,FALSE)=0,"",VLOOKUP($B9,'[1]Cost Analysis'!$C:$FO,131,FALSE))</f>
        <v/>
      </c>
      <c r="CE9" s="7">
        <f>IF(VLOOKUP($B9,'[1]Cost Analysis'!$C:$FO,132,FALSE)=0,"",VLOOKUP($B9,'[1]Cost Analysis'!$C:$FO,132,FALSE))</f>
        <v>34500</v>
      </c>
      <c r="CF9" s="7">
        <f>IF(VLOOKUP($B9,'[1]Cost Analysis'!$C:$FO,133,FALSE)=0,"",VLOOKUP($B9,'[1]Cost Analysis'!$C:$FO,133,FALSE))</f>
        <v>47375.25</v>
      </c>
      <c r="CG9" s="7">
        <f>IF(VLOOKUP($B9,'[1]Cost Analysis'!$C:$FO,134,FALSE)=0,"",VLOOKUP($B9,'[1]Cost Analysis'!$C:$FO,134,FALSE))</f>
        <v>18820784.210000005</v>
      </c>
      <c r="CH9" s="7">
        <f>IF(VLOOKUP($B9,'[1]Cost Analysis'!$C:$FO,135,FALSE)=0,"",VLOOKUP($B9,'[1]Cost Analysis'!$C:$FO,135,FALSE))</f>
        <v>26532167.340000004</v>
      </c>
      <c r="CI9" s="7" t="str">
        <f>IF(VLOOKUP($B9,'[1]Cost Analysis'!$C:$FO,136,FALSE)=0,"",VLOOKUP($B9,'[1]Cost Analysis'!$C:$FO,136,FALSE))</f>
        <v/>
      </c>
      <c r="CJ9" s="7" t="str">
        <f>IF(VLOOKUP($B9,'[1]Cost Analysis'!$C:$FO,137,FALSE)=0,"",VLOOKUP($B9,'[1]Cost Analysis'!$C:$FO,137,FALSE))</f>
        <v/>
      </c>
      <c r="CK9" s="7">
        <f>IF(VLOOKUP($B9,'[1]Cost Analysis'!$C:$FO,138,FALSE)=0,"",VLOOKUP($B9,'[1]Cost Analysis'!$C:$FO,138,FALSE))</f>
        <v>-78743</v>
      </c>
      <c r="CL9" s="7">
        <f>IF(VLOOKUP($B9,'[1]Cost Analysis'!$C:$FO,139,FALSE)=0,"",VLOOKUP($B9,'[1]Cost Analysis'!$C:$FO,139,FALSE))</f>
        <v>26453424.340000004</v>
      </c>
    </row>
    <row r="10" spans="1:90" ht="45" x14ac:dyDescent="0.25">
      <c r="A10" s="13" t="s">
        <v>31</v>
      </c>
      <c r="B10" s="13" t="s">
        <v>50</v>
      </c>
      <c r="C10" s="19" t="str">
        <f>VLOOKUP($B10,'[1]Cost Analysis'!$C:$FO,7,FALSE)</f>
        <v>Milestone 4</v>
      </c>
      <c r="D10" s="19" t="str">
        <f>VLOOKUP($B10,'[1]Cost Analysis'!$C:$FO,8,FALSE)</f>
        <v>Completed within 3 years</v>
      </c>
      <c r="E10" s="18">
        <f>IF(ISERROR(VLOOKUP($B10,'[1]Cost Analysis'!$C:$FO,9,FALSE)),"",VLOOKUP($B10,'[1]Cost Analysis'!$C:$FO,9,FALSE))</f>
        <v>10894446</v>
      </c>
      <c r="F10" s="17">
        <f>IF(ISERROR(VLOOKUP($B10,'[1]Cost Analysis'!$C:$FO,10,FALSE)),"",VLOOKUP($B10,'[1]Cost Analysis'!$C:$FO,10,FALSE))</f>
        <v>117.79817049435579</v>
      </c>
      <c r="G10" s="9">
        <f>IF(ISERROR(VLOOKUP($B10,'[1]Cost Analysis'!$C:$FO,12,FALSE)),"",VLOOKUP($B10,'[1]Cost Analysis'!$C:$FO,12,FALSE))</f>
        <v>974226</v>
      </c>
      <c r="H10" s="17">
        <f>IF(ISERROR(VLOOKUP($B10,'[1]Cost Analysis'!$C:$FO,13,FALSE)),"",VLOOKUP($B10,'[1]Cost Analysis'!$C:$FO,13,FALSE))</f>
        <v>10.533995069417411</v>
      </c>
      <c r="I10" s="16">
        <f>IF(ISERROR(VLOOKUP($B10,'[1]Cost Analysis'!$C:$FO,14,FALSE)),"",VLOOKUP($B10,'[1]Cost Analysis'!$C:$FO,14,FALSE))</f>
        <v>8.942409737952714E-2</v>
      </c>
      <c r="J10" s="18">
        <f>IF(ISERROR(VLOOKUP($B10,'[1]Cost Analysis'!$C:$FO,15,FALSE)),"",VLOOKUP($B10,'[1]Cost Analysis'!$C:$FO,15,FALSE))</f>
        <v>1604085</v>
      </c>
      <c r="K10" s="16">
        <f>IF(ISERROR(VLOOKUP($B10,'[1]Cost Analysis'!$C:$FO,16,FALSE)),"",VLOOKUP($B10,'[1]Cost Analysis'!$C:$FO,16,FALSE))</f>
        <v>0.14723878570787355</v>
      </c>
      <c r="L10" s="17">
        <f>IF(ISERROR(VLOOKUP($B10,'[1]Cost Analysis'!$C:$FO,17,FALSE)),"",VLOOKUP($B10,'[1]Cost Analysis'!$C:$FO,17,FALSE))</f>
        <v>-629859</v>
      </c>
      <c r="M10" s="17">
        <f>IF(ISERROR(VLOOKUP($B10,'[1]Cost Analysis'!$C:$FO,18,FALSE)),"",VLOOKUP($B10,'[1]Cost Analysis'!$C:$FO,18,FALSE))</f>
        <v>-1.6177976944804289</v>
      </c>
      <c r="N10" s="16">
        <f>IF(ISERROR(VLOOKUP($B10,'[1]Cost Analysis'!$C:$FO,19,FALSE)),"",VLOOKUP($B10,'[1]Cost Analysis'!$C:$FO,19,FALSE))</f>
        <v>-1.3733640239836703E-2</v>
      </c>
      <c r="O10" s="11">
        <f>IF(ISERROR(VLOOKUP($B10,'[1]Cost Analysis'!$C:$FO,36,FALSE)),"",VLOOKUP($B10,'[1]Cost Analysis'!$C:$FO,36,FALSE))</f>
        <v>1561768</v>
      </c>
      <c r="P10" s="13" t="str">
        <f>IF(ISERROR(VLOOKUP($B10,'[1]Cost Analysis'!$C:$FO,37,FALSE)),"",VLOOKUP($B10,'[1]Cost Analysis'!$C:$FO,37,FALSE))</f>
        <v>Onsite Solar electric (PV) Owned
and
Onsite Solar electric (PV) Leased</v>
      </c>
      <c r="Q10" s="11">
        <f>VLOOKUP($B10,'[1]Cost Analysis'!$C:$FO,39,FALSE)</f>
        <v>92484</v>
      </c>
      <c r="R10" s="11">
        <f>VLOOKUP($B10,'[1]Cost Analysis'!$C:$FO,40,FALSE)</f>
        <v>92484</v>
      </c>
      <c r="S10" s="13">
        <f>VLOOKUP($B10,'[1]Cost Analysis'!$C:$FO,41,FALSE)</f>
        <v>3</v>
      </c>
      <c r="T10" s="13">
        <f>VLOOKUP($B10,'[1]Cost Analysis'!$C:$FO,42,FALSE)</f>
        <v>3</v>
      </c>
      <c r="U10" s="13">
        <f>VLOOKUP($B10,'[1]Cost Analysis'!$C:$FO,43,FALSE)</f>
        <v>72</v>
      </c>
      <c r="V10" s="13" t="str">
        <f>VLOOKUP($B10,'[1]Cost Analysis'!$C:$FO,44,FALSE)</f>
        <v>ERI</v>
      </c>
      <c r="W10" s="13" t="str">
        <f>VLOOKUP($B10,'[1]Cost Analysis'!$C:$FO,45,FALSE)</f>
        <v>Capital Region</v>
      </c>
      <c r="X10" s="15" t="str">
        <f>VLOOKUP($B10,'[1]Cost Analysis'!$C:$FO,46,FALSE)</f>
        <v>All Electric</v>
      </c>
      <c r="Y10" s="14" t="str">
        <f>VLOOKUP($B10,'[1]Cost Analysis'!$C:$FO,47,FALSE)</f>
        <v>Market Rate</v>
      </c>
      <c r="Z10" s="13" t="str">
        <f>VLOOKUP($B10,'[1]Cost Analysis'!$C:$FO,48,FALSE)</f>
        <v>Yes</v>
      </c>
      <c r="AA10" s="13" t="str">
        <f>VLOOKUP($B10,'[1]Cost Analysis'!$C:$FO,49,FALSE)</f>
        <v>Wood Frame</v>
      </c>
      <c r="AB10" s="13" t="str">
        <f>VLOOKUP($B10,'[1]Cost Analysis'!$C:$FO,50,FALSE)</f>
        <v>Minisplit - ASHP</v>
      </c>
      <c r="AC10" s="13" t="str">
        <f>VLOOKUP($B10,'[1]Cost Analysis'!$C:$FO,51,FALSE)</f>
        <v>ERV</v>
      </c>
      <c r="AD10" s="13" t="str">
        <f>VLOOKUP($B10,'[1]Cost Analysis'!$C:$FO,52,FALSE)</f>
        <v>Solar Thermal</v>
      </c>
      <c r="AE10" s="13" t="str">
        <f>VLOOKUP($B10,'[1]Cost Analysis'!$C:$FO,53,FALSE)</f>
        <v>Yes</v>
      </c>
      <c r="AF10" s="13" t="str">
        <f>VLOOKUP($B10,'[1]Cost Analysis'!$C:$FO,54,FALSE)</f>
        <v>Low Rise</v>
      </c>
      <c r="AG10" s="13" t="str">
        <f>IF(VLOOKUP($B10,'[1]Cost Analysis'!$C:$FO,55,FALSE)="PV","Yes","No")</f>
        <v>Yes</v>
      </c>
      <c r="AH10" s="13" t="str">
        <f>VLOOKUP($B10,'[1]Cost Analysis'!$C:$FO,57,FALSE)</f>
        <v>Yes</v>
      </c>
      <c r="AI10" s="13" t="str">
        <f>VLOOKUP($B10,'[1]Cost Analysis'!$C:$FO,58,FALSE)</f>
        <v>No</v>
      </c>
      <c r="AJ10" s="13" t="str">
        <f>VLOOKUP($B10,'[1]Cost Analysis'!$C:$FO,59,FALSE)</f>
        <v>ASHP</v>
      </c>
      <c r="AK10" s="13">
        <f>VLOOKUP($B10,'[1]Cost Analysis'!$C:$FO,60,FALSE)</f>
        <v>5</v>
      </c>
      <c r="AL10" s="13" t="str">
        <f>VLOOKUP($B10,'[1]Cost Analysis'!$C:$FO,61,FALSE)</f>
        <v>No</v>
      </c>
      <c r="AM10" s="13" t="str">
        <f>VLOOKUP($B10,'[1]Cost Analysis'!$C:$FO,62,FALSE)</f>
        <v>NC</v>
      </c>
      <c r="AN10" s="12" t="str">
        <f>VLOOKUP($B10,'[1]Cost Analysis'!$C:$FO,63,FALSE)</f>
        <v>2016 ECCC of NYS</v>
      </c>
      <c r="AO10" s="12" t="str">
        <f>VLOOKUP($B10,'[1]Cost Analysis'!$C:$FO,67,FALSE)</f>
        <v>No</v>
      </c>
      <c r="AP10" s="12" t="str">
        <f>VLOOKUP($B10,'[1]Cost Analysis'!$C:$FO,69,FALSE)</f>
        <v>No</v>
      </c>
      <c r="AQ10" s="11">
        <f>VLOOKUP($B10,'[1]Cost Analysis'!$C:$FO,74,FALSE)</f>
        <v>1784913</v>
      </c>
      <c r="AR10" s="11">
        <f>VLOOKUP($B10,'[1]Cost Analysis'!$C:$FO,75,FALSE)</f>
        <v>0</v>
      </c>
      <c r="AS10" s="10">
        <f>IF(ISERROR(VLOOKUP($B10,'[1]Cost Analysis'!$C:$FO,76,FALSE)),"",VLOOKUP($B10,'[1]Cost Analysis'!$C:$FO,76,FALSE))</f>
        <v>1</v>
      </c>
      <c r="AT10" s="9">
        <f>VLOOKUP($B10,'[1]Cost Analysis'!$C:$FO,78,FALSE)</f>
        <v>0</v>
      </c>
      <c r="AU10" s="9">
        <f>VLOOKUP($B10,'[1]Cost Analysis'!$C:$FO,82,FALSE)</f>
        <v>0</v>
      </c>
      <c r="AV10" s="8">
        <f>VLOOKUP($B10,'[1]Cost Analysis'!$C:$FO,83,FALSE)</f>
        <v>0</v>
      </c>
      <c r="AW10" s="7">
        <f>IF(VLOOKUP($B10,'[1]Cost Analysis'!$C:$FO,86,FALSE)=0,"",VLOOKUP($B10,'[1]Cost Analysis'!$C:$FO,86,FALSE))</f>
        <v>575523</v>
      </c>
      <c r="AX10" s="7">
        <f>IF(VLOOKUP($B10,'[1]Cost Analysis'!$C:$FO,87,FALSE)=0,"",VLOOKUP($B10,'[1]Cost Analysis'!$C:$FO,87,FALSE))</f>
        <v>884237</v>
      </c>
      <c r="AY10" s="7">
        <f>IF(VLOOKUP($B10,'[1]Cost Analysis'!$C:$FO,88,FALSE)=0,"",VLOOKUP($B10,'[1]Cost Analysis'!$C:$FO,88,FALSE))</f>
        <v>60000</v>
      </c>
      <c r="AZ10" s="7">
        <f>IF(VLOOKUP($B10,'[1]Cost Analysis'!$C:$FO,89,FALSE)=0,"",VLOOKUP($B10,'[1]Cost Analysis'!$C:$FO,89,FALSE))</f>
        <v>299400</v>
      </c>
      <c r="BA10" s="7">
        <f>IF(VLOOKUP($B10,'[1]Cost Analysis'!$C:$FO,90,FALSE)=0,"",VLOOKUP($B10,'[1]Cost Analysis'!$C:$FO,90,FALSE))</f>
        <v>678000</v>
      </c>
      <c r="BB10" s="7">
        <f>IF(VLOOKUP($B10,'[1]Cost Analysis'!$C:$FO,91,FALSE)=0,"",VLOOKUP($B10,'[1]Cost Analysis'!$C:$FO,91,FALSE))</f>
        <v>51000</v>
      </c>
      <c r="BC10" s="7">
        <f>IF(VLOOKUP($B10,'[1]Cost Analysis'!$C:$FO,92,FALSE)=0,"",VLOOKUP($B10,'[1]Cost Analysis'!$C:$FO,92,FALSE))</f>
        <v>45000</v>
      </c>
      <c r="BD10" s="7">
        <f>IF(VLOOKUP($B10,'[1]Cost Analysis'!$C:$FO,93,FALSE)=0,"",VLOOKUP($B10,'[1]Cost Analysis'!$C:$FO,93,FALSE))</f>
        <v>20826</v>
      </c>
      <c r="BE10" s="7" t="str">
        <f>IF(VLOOKUP($B10,'[1]Cost Analysis'!$C:$FO,94,FALSE)=0,"",VLOOKUP($B10,'[1]Cost Analysis'!$C:$FO,94,FALSE))</f>
        <v/>
      </c>
      <c r="BF10" s="7">
        <f>IF(VLOOKUP($B10,'[1]Cost Analysis'!$C:$FO,95,FALSE)=0,"",VLOOKUP($B10,'[1]Cost Analysis'!$C:$FO,95,FALSE))</f>
        <v>8280460</v>
      </c>
      <c r="BG10" s="7">
        <f>IF(VLOOKUP($B10,'[1]Cost Analysis'!$C:$FO,96,FALSE)=0,"",VLOOKUP($B10,'[1]Cost Analysis'!$C:$FO,96,FALSE))</f>
        <v>10894446</v>
      </c>
      <c r="BH10" s="7">
        <f>IF(VLOOKUP($B10,'[1]Cost Analysis'!$C:$FO,97,FALSE)=0,"",VLOOKUP($B10,'[1]Cost Analysis'!$C:$FO,97,FALSE))</f>
        <v>-184800</v>
      </c>
      <c r="BI10" s="7">
        <f>IF(VLOOKUP($B10,'[1]Cost Analysis'!$C:$FO,98,FALSE)=0,"",VLOOKUP($B10,'[1]Cost Analysis'!$C:$FO,98,FALSE))</f>
        <v>-209250</v>
      </c>
      <c r="BJ10" s="7" t="str">
        <f>IF(VLOOKUP($B10,'[1]Cost Analysis'!$C:$FO,99,FALSE)=0,"",VLOOKUP($B10,'[1]Cost Analysis'!$C:$FO,99,FALSE))</f>
        <v/>
      </c>
      <c r="BK10" s="7">
        <f>IF(VLOOKUP($B10,'[1]Cost Analysis'!$C:$FO,100,FALSE)=0,"",VLOOKUP($B10,'[1]Cost Analysis'!$C:$FO,100,FALSE))</f>
        <v>-78000</v>
      </c>
      <c r="BL10" s="7" t="str">
        <f>IF(VLOOKUP($B10,'[1]Cost Analysis'!$C:$FO,101,FALSE)=0,"",VLOOKUP($B10,'[1]Cost Analysis'!$C:$FO,101,FALSE))</f>
        <v/>
      </c>
      <c r="BM10" s="7" t="str">
        <f>IF(VLOOKUP($B10,'[1]Cost Analysis'!$C:$FO,102,FALSE)=0,"",VLOOKUP($B10,'[1]Cost Analysis'!$C:$FO,102,FALSE))</f>
        <v/>
      </c>
      <c r="BN10" s="7">
        <f>IF(VLOOKUP($B10,'[1]Cost Analysis'!$C:$FO,103,FALSE)=0,"",VLOOKUP($B10,'[1]Cost Analysis'!$C:$FO,103,FALSE))</f>
        <v>-99000</v>
      </c>
      <c r="BO10" s="7">
        <f>IF(VLOOKUP($B10,'[1]Cost Analysis'!$C:$FO,104,FALSE)=0,"",VLOOKUP($B10,'[1]Cost Analysis'!$C:$FO,104,FALSE))</f>
        <v>-571050</v>
      </c>
      <c r="BP10" s="7">
        <f>IF(VLOOKUP($B10,'[1]Cost Analysis'!$C:$FO,105,FALSE)=0,"",VLOOKUP($B10,'[1]Cost Analysis'!$C:$FO,105,FALSE))</f>
        <v>-750000</v>
      </c>
      <c r="BQ10" s="7" t="str">
        <f>IF(VLOOKUP($B10,'[1]Cost Analysis'!$C:$FO,106,FALSE)=0,"",VLOOKUP($B10,'[1]Cost Analysis'!$C:$FO,106,FALSE))</f>
        <v/>
      </c>
      <c r="BR10" s="7">
        <f>IF(VLOOKUP($B10,'[1]Cost Analysis'!$C:$FO,107,FALSE)=0,"",VLOOKUP($B10,'[1]Cost Analysis'!$C:$FO,107,FALSE))</f>
        <v>-139035</v>
      </c>
      <c r="BS10" s="7" t="str">
        <f>IF(VLOOKUP($B10,'[1]Cost Analysis'!$C:$FO,108,FALSE)=0,"",VLOOKUP($B10,'[1]Cost Analysis'!$C:$FO,108,FALSE))</f>
        <v/>
      </c>
      <c r="BT10" s="7" t="str">
        <f>IF(VLOOKUP($B10,'[1]Cost Analysis'!$C:$FO,109,FALSE)=0,"",VLOOKUP($B10,'[1]Cost Analysis'!$C:$FO,109,FALSE))</f>
        <v/>
      </c>
      <c r="BU10" s="7">
        <f>IF(VLOOKUP($B10,'[1]Cost Analysis'!$C:$FO,110,FALSE)=0,"",VLOOKUP($B10,'[1]Cost Analysis'!$C:$FO,110,FALSE))</f>
        <v>-144000</v>
      </c>
      <c r="BV10" s="7">
        <f>IF(VLOOKUP($B10,'[1]Cost Analysis'!$C:$FO,111,FALSE)=0,"",VLOOKUP($B10,'[1]Cost Analysis'!$C:$FO,111,FALSE))</f>
        <v>-283035</v>
      </c>
      <c r="BW10" s="7">
        <f>IF(VLOOKUP($B10,'[1]Cost Analysis'!$C:$FO,112,FALSE)=0,"",VLOOKUP($B10,'[1]Cost Analysis'!$C:$FO,112,FALSE))</f>
        <v>9785825</v>
      </c>
      <c r="BX10" s="7">
        <f>IF(VLOOKUP($B10,'[1]Cost Analysis'!$C:$FO,125,FALSE)=0,"",VLOOKUP($B10,'[1]Cost Analysis'!$C:$FO,125,FALSE))</f>
        <v>575523</v>
      </c>
      <c r="BY10" s="7">
        <f>IF(VLOOKUP($B10,'[1]Cost Analysis'!$C:$FO,126,FALSE)=0,"",VLOOKUP($B10,'[1]Cost Analysis'!$C:$FO,126,FALSE))</f>
        <v>680237</v>
      </c>
      <c r="BZ10" s="7">
        <f>IF(VLOOKUP($B10,'[1]Cost Analysis'!$C:$FO,127,FALSE)=0,"",VLOOKUP($B10,'[1]Cost Analysis'!$C:$FO,127,FALSE))</f>
        <v>57600</v>
      </c>
      <c r="CA10" s="7">
        <f>IF(VLOOKUP($B10,'[1]Cost Analysis'!$C:$FO,128,FALSE)=0,"",VLOOKUP($B10,'[1]Cost Analysis'!$C:$FO,128,FALSE))</f>
        <v>281400</v>
      </c>
      <c r="CB10" s="7" t="str">
        <f>IF(VLOOKUP($B10,'[1]Cost Analysis'!$C:$FO,129,FALSE)=0,"",VLOOKUP($B10,'[1]Cost Analysis'!$C:$FO,129,FALSE))</f>
        <v/>
      </c>
      <c r="CC10" s="7">
        <f>IF(VLOOKUP($B10,'[1]Cost Analysis'!$C:$FO,130,FALSE)=0,"",VLOOKUP($B10,'[1]Cost Analysis'!$C:$FO,130,FALSE))</f>
        <v>45000</v>
      </c>
      <c r="CD10" s="7" t="str">
        <f>IF(VLOOKUP($B10,'[1]Cost Analysis'!$C:$FO,131,FALSE)=0,"",VLOOKUP($B10,'[1]Cost Analysis'!$C:$FO,131,FALSE))</f>
        <v/>
      </c>
      <c r="CE10" s="7" t="str">
        <f>IF(VLOOKUP($B10,'[1]Cost Analysis'!$C:$FO,132,FALSE)=0,"",VLOOKUP($B10,'[1]Cost Analysis'!$C:$FO,132,FALSE))</f>
        <v/>
      </c>
      <c r="CF10" s="7" t="str">
        <f>IF(VLOOKUP($B10,'[1]Cost Analysis'!$C:$FO,133,FALSE)=0,"",VLOOKUP($B10,'[1]Cost Analysis'!$C:$FO,133,FALSE))</f>
        <v/>
      </c>
      <c r="CG10" s="7">
        <f>IF(VLOOKUP($B10,'[1]Cost Analysis'!$C:$FO,134,FALSE)=0,"",VLOOKUP($B10,'[1]Cost Analysis'!$C:$FO,134,FALSE))</f>
        <v>8280460</v>
      </c>
      <c r="CH10" s="7">
        <f>IF(VLOOKUP($B10,'[1]Cost Analysis'!$C:$FO,135,FALSE)=0,"",VLOOKUP($B10,'[1]Cost Analysis'!$C:$FO,135,FALSE))</f>
        <v>9920220</v>
      </c>
      <c r="CI10" s="7" t="str">
        <f>IF(VLOOKUP($B10,'[1]Cost Analysis'!$C:$FO,136,FALSE)=0,"",VLOOKUP($B10,'[1]Cost Analysis'!$C:$FO,136,FALSE))</f>
        <v/>
      </c>
      <c r="CJ10" s="7" t="str">
        <f>IF(VLOOKUP($B10,'[1]Cost Analysis'!$C:$FO,137,FALSE)=0,"",VLOOKUP($B10,'[1]Cost Analysis'!$C:$FO,137,FALSE))</f>
        <v/>
      </c>
      <c r="CK10" s="7" t="str">
        <f>IF(VLOOKUP($B10,'[1]Cost Analysis'!$C:$FO,138,FALSE)=0,"",VLOOKUP($B10,'[1]Cost Analysis'!$C:$FO,138,FALSE))</f>
        <v/>
      </c>
      <c r="CL10" s="7">
        <f>IF(VLOOKUP($B10,'[1]Cost Analysis'!$C:$FO,139,FALSE)=0,"",VLOOKUP($B10,'[1]Cost Analysis'!$C:$FO,139,FALSE))</f>
        <v>9920220</v>
      </c>
    </row>
    <row r="11" spans="1:90" ht="45" x14ac:dyDescent="0.25">
      <c r="A11" s="13" t="s">
        <v>31</v>
      </c>
      <c r="B11" s="13" t="s">
        <v>49</v>
      </c>
      <c r="C11" s="19" t="str">
        <f>VLOOKUP($B11,'[1]Cost Analysis'!$C:$FO,7,FALSE)</f>
        <v>Milestone 2</v>
      </c>
      <c r="D11" s="19" t="str">
        <f>VLOOKUP($B11,'[1]Cost Analysis'!$C:$FO,8,FALSE)</f>
        <v>Early Design</v>
      </c>
      <c r="E11" s="18">
        <f>IF(ISERROR(VLOOKUP($B11,'[1]Cost Analysis'!$C:$FO,9,FALSE)),"",VLOOKUP($B11,'[1]Cost Analysis'!$C:$FO,9,FALSE))</f>
        <v>99705057.298765123</v>
      </c>
      <c r="F11" s="17">
        <f>IF(ISERROR(VLOOKUP($B11,'[1]Cost Analysis'!$C:$FO,10,FALSE)),"",VLOOKUP($B11,'[1]Cost Analysis'!$C:$FO,10,FALSE))</f>
        <v>997.05057298765121</v>
      </c>
      <c r="G11" s="9">
        <f>IF(ISERROR(VLOOKUP($B11,'[1]Cost Analysis'!$C:$FO,12,FALSE)),"",VLOOKUP($B11,'[1]Cost Analysis'!$C:$FO,12,FALSE))</f>
        <v>32082969.298765123</v>
      </c>
      <c r="H11" s="17">
        <f>IF(ISERROR(VLOOKUP($B11,'[1]Cost Analysis'!$C:$FO,13,FALSE)),"",VLOOKUP($B11,'[1]Cost Analysis'!$C:$FO,13,FALSE))</f>
        <v>337.82969298765124</v>
      </c>
      <c r="I11" s="16">
        <f>IF(ISERROR(VLOOKUP($B11,'[1]Cost Analysis'!$C:$FO,14,FALSE)),"",VLOOKUP($B11,'[1]Cost Analysis'!$C:$FO,14,FALSE))</f>
        <v>0.33882904452413903</v>
      </c>
      <c r="J11" s="18">
        <f>IF(ISERROR(VLOOKUP($B11,'[1]Cost Analysis'!$C:$FO,15,FALSE)),"",VLOOKUP($B11,'[1]Cost Analysis'!$C:$FO,15,FALSE))</f>
        <v>1800000</v>
      </c>
      <c r="K11" s="16">
        <f>IF(ISERROR(VLOOKUP($B11,'[1]Cost Analysis'!$C:$FO,16,FALSE)),"",VLOOKUP($B11,'[1]Cost Analysis'!$C:$FO,16,FALSE))</f>
        <v>1.8053246733576608E-2</v>
      </c>
      <c r="L11" s="17">
        <f>IF(ISERROR(VLOOKUP($B11,'[1]Cost Analysis'!$C:$FO,17,FALSE)),"",VLOOKUP($B11,'[1]Cost Analysis'!$C:$FO,17,FALSE))</f>
        <v>30282969.298765123</v>
      </c>
      <c r="M11" s="17">
        <f>IF(ISERROR(VLOOKUP($B11,'[1]Cost Analysis'!$C:$FO,18,FALSE)),"",VLOOKUP($B11,'[1]Cost Analysis'!$C:$FO,18,FALSE))</f>
        <v>325.70981259803051</v>
      </c>
      <c r="N11" s="16">
        <f>IF(ISERROR(VLOOKUP($B11,'[1]Cost Analysis'!$C:$FO,19,FALSE)),"",VLOOKUP($B11,'[1]Cost Analysis'!$C:$FO,19,FALSE))</f>
        <v>0.32667331168773572</v>
      </c>
      <c r="O11" s="11" t="str">
        <f>IF(ISERROR(VLOOKUP($B11,'[1]Cost Analysis'!$C:$FO,36,FALSE)),"",VLOOKUP($B11,'[1]Cost Analysis'!$C:$FO,36,FALSE))</f>
        <v>-</v>
      </c>
      <c r="P11" s="13" t="str">
        <f>IF(ISERROR(VLOOKUP($B11,'[1]Cost Analysis'!$C:$FO,37,FALSE)),"",VLOOKUP($B11,'[1]Cost Analysis'!$C:$FO,37,FALSE))</f>
        <v>-</v>
      </c>
      <c r="Q11" s="11">
        <f>VLOOKUP($B11,'[1]Cost Analysis'!$C:$FO,39,FALSE)</f>
        <v>100000</v>
      </c>
      <c r="R11" s="11">
        <f>VLOOKUP($B11,'[1]Cost Analysis'!$C:$FO,40,FALSE)</f>
        <v>99002</v>
      </c>
      <c r="S11" s="13">
        <f>VLOOKUP($B11,'[1]Cost Analysis'!$C:$FO,41,FALSE)</f>
        <v>1</v>
      </c>
      <c r="T11" s="13">
        <f>VLOOKUP($B11,'[1]Cost Analysis'!$C:$FO,42,FALSE)</f>
        <v>13</v>
      </c>
      <c r="U11" s="13">
        <f>VLOOKUP($B11,'[1]Cost Analysis'!$C:$FO,43,FALSE)</f>
        <v>153</v>
      </c>
      <c r="V11" s="13" t="str">
        <f>VLOOKUP($B11,'[1]Cost Analysis'!$C:$FO,44,FALSE)</f>
        <v>Phius</v>
      </c>
      <c r="W11" s="13" t="str">
        <f>VLOOKUP($B11,'[1]Cost Analysis'!$C:$FO,45,FALSE)</f>
        <v>NYC</v>
      </c>
      <c r="X11" s="15" t="str">
        <f>VLOOKUP($B11,'[1]Cost Analysis'!$C:$FO,46,FALSE)</f>
        <v>All Electric</v>
      </c>
      <c r="Y11" s="14" t="str">
        <f>VLOOKUP($B11,'[1]Cost Analysis'!$C:$FO,47,FALSE)</f>
        <v>LMI</v>
      </c>
      <c r="Z11" s="13" t="str">
        <f>VLOOKUP($B11,'[1]Cost Analysis'!$C:$FO,48,FALSE)</f>
        <v>Yes</v>
      </c>
      <c r="AA11" s="13" t="str">
        <f>VLOOKUP($B11,'[1]Cost Analysis'!$C:$FO,49,FALSE)</f>
        <v>Modular</v>
      </c>
      <c r="AB11" s="13" t="str">
        <f>VLOOKUP($B11,'[1]Cost Analysis'!$C:$FO,50,FALSE)</f>
        <v>Minisplit - ASHP</v>
      </c>
      <c r="AC11" s="13" t="str">
        <f>VLOOKUP($B11,'[1]Cost Analysis'!$C:$FO,51,FALSE)</f>
        <v>ERV</v>
      </c>
      <c r="AD11" s="13" t="str">
        <f>VLOOKUP($B11,'[1]Cost Analysis'!$C:$FO,52,FALSE)</f>
        <v>Fossil Fuel</v>
      </c>
      <c r="AE11" s="13" t="str">
        <f>VLOOKUP($B11,'[1]Cost Analysis'!$C:$FO,53,FALSE)</f>
        <v>Yes</v>
      </c>
      <c r="AF11" s="13" t="str">
        <f>VLOOKUP($B11,'[1]Cost Analysis'!$C:$FO,54,FALSE)</f>
        <v>Mid Rise</v>
      </c>
      <c r="AG11" s="13" t="str">
        <f>IF(VLOOKUP($B11,'[1]Cost Analysis'!$C:$FO,55,FALSE)="PV","Yes","No")</f>
        <v>Yes</v>
      </c>
      <c r="AH11" s="13" t="str">
        <f>VLOOKUP($B11,'[1]Cost Analysis'!$C:$FO,57,FALSE)</f>
        <v>No</v>
      </c>
      <c r="AI11" s="13" t="str">
        <f>VLOOKUP($B11,'[1]Cost Analysis'!$C:$FO,58,FALSE)</f>
        <v>No</v>
      </c>
      <c r="AJ11" s="13" t="str">
        <f>VLOOKUP($B11,'[1]Cost Analysis'!$C:$FO,59,FALSE)</f>
        <v>?</v>
      </c>
      <c r="AK11" s="13">
        <f>VLOOKUP($B11,'[1]Cost Analysis'!$C:$FO,60,FALSE)</f>
        <v>4</v>
      </c>
      <c r="AL11" s="13" t="str">
        <f>VLOOKUP($B11,'[1]Cost Analysis'!$C:$FO,61,FALSE)</f>
        <v>Yes</v>
      </c>
      <c r="AM11" s="13" t="str">
        <f>VLOOKUP($B11,'[1]Cost Analysis'!$C:$FO,62,FALSE)</f>
        <v>NC</v>
      </c>
      <c r="AN11" s="12" t="str">
        <f>VLOOKUP($B11,'[1]Cost Analysis'!$C:$FO,63,FALSE)</f>
        <v xml:space="preserve">2016 ECCC of NYS	
	</v>
      </c>
      <c r="AO11" s="12" t="str">
        <f>VLOOKUP($B11,'[1]Cost Analysis'!$C:$FO,67,FALSE)</f>
        <v>Yes</v>
      </c>
      <c r="AP11" s="12" t="str">
        <f>VLOOKUP($B11,'[1]Cost Analysis'!$C:$FO,69,FALSE)</f>
        <v>No</v>
      </c>
      <c r="AQ11" s="11">
        <f>VLOOKUP($B11,'[1]Cost Analysis'!$C:$FO,74,FALSE)</f>
        <v>0</v>
      </c>
      <c r="AR11" s="11">
        <f>VLOOKUP($B11,'[1]Cost Analysis'!$C:$FO,75,FALSE)</f>
        <v>0</v>
      </c>
      <c r="AS11" s="10" t="str">
        <f>IF(ISERROR(VLOOKUP($B11,'[1]Cost Analysis'!$C:$FO,76,FALSE)),"",VLOOKUP($B11,'[1]Cost Analysis'!$C:$FO,76,FALSE))</f>
        <v/>
      </c>
      <c r="AT11" s="9">
        <f>VLOOKUP($B11,'[1]Cost Analysis'!$C:$FO,78,FALSE)</f>
        <v>0</v>
      </c>
      <c r="AU11" s="9">
        <f>VLOOKUP($B11,'[1]Cost Analysis'!$C:$FO,82,FALSE)</f>
        <v>0</v>
      </c>
      <c r="AV11" s="8">
        <f>VLOOKUP($B11,'[1]Cost Analysis'!$C:$FO,83,FALSE)</f>
        <v>0</v>
      </c>
      <c r="AW11" s="7">
        <f>IF(VLOOKUP($B11,'[1]Cost Analysis'!$C:$FO,86,FALSE)=0,"",VLOOKUP($B11,'[1]Cost Analysis'!$C:$FO,86,FALSE))</f>
        <v>5074592.0401127683</v>
      </c>
      <c r="AX11" s="7">
        <f>IF(VLOOKUP($B11,'[1]Cost Analysis'!$C:$FO,87,FALSE)=0,"",VLOOKUP($B11,'[1]Cost Analysis'!$C:$FO,87,FALSE))</f>
        <v>6779865.4409556938</v>
      </c>
      <c r="AY11" s="7">
        <f>IF(VLOOKUP($B11,'[1]Cost Analysis'!$C:$FO,88,FALSE)=0,"",VLOOKUP($B11,'[1]Cost Analysis'!$C:$FO,88,FALSE))</f>
        <v>3559889.2908018893</v>
      </c>
      <c r="AZ11" s="7">
        <f>IF(VLOOKUP($B11,'[1]Cost Analysis'!$C:$FO,89,FALSE)=0,"",VLOOKUP($B11,'[1]Cost Analysis'!$C:$FO,89,FALSE))</f>
        <v>572717.54664717428</v>
      </c>
      <c r="BA11" s="7">
        <f>IF(VLOOKUP($B11,'[1]Cost Analysis'!$C:$FO,90,FALSE)=0,"",VLOOKUP($B11,'[1]Cost Analysis'!$C:$FO,90,FALSE))</f>
        <v>232500</v>
      </c>
      <c r="BB11" s="7">
        <f>IF(VLOOKUP($B11,'[1]Cost Analysis'!$C:$FO,91,FALSE)=0,"",VLOOKUP($B11,'[1]Cost Analysis'!$C:$FO,91,FALSE))</f>
        <v>400000</v>
      </c>
      <c r="BC11" s="7" t="str">
        <f>IF(VLOOKUP($B11,'[1]Cost Analysis'!$C:$FO,92,FALSE)=0,"",VLOOKUP($B11,'[1]Cost Analysis'!$C:$FO,92,FALSE))</f>
        <v/>
      </c>
      <c r="BD11" s="7">
        <f>IF(VLOOKUP($B11,'[1]Cost Analysis'!$C:$FO,93,FALSE)=0,"",VLOOKUP($B11,'[1]Cost Analysis'!$C:$FO,93,FALSE))</f>
        <v>189900</v>
      </c>
      <c r="BE11" s="7" t="str">
        <f>IF(VLOOKUP($B11,'[1]Cost Analysis'!$C:$FO,94,FALSE)=0,"",VLOOKUP($B11,'[1]Cost Analysis'!$C:$FO,94,FALSE))</f>
        <v/>
      </c>
      <c r="BF11" s="7">
        <f>IF(VLOOKUP($B11,'[1]Cost Analysis'!$C:$FO,95,FALSE)=0,"",VLOOKUP($B11,'[1]Cost Analysis'!$C:$FO,95,FALSE))</f>
        <v>82895592.980247587</v>
      </c>
      <c r="BG11" s="7">
        <f>IF(VLOOKUP($B11,'[1]Cost Analysis'!$C:$FO,96,FALSE)=0,"",VLOOKUP($B11,'[1]Cost Analysis'!$C:$FO,96,FALSE))</f>
        <v>99705057.298765123</v>
      </c>
      <c r="BH11" s="7">
        <f>IF(VLOOKUP($B11,'[1]Cost Analysis'!$C:$FO,97,FALSE)=0,"",VLOOKUP($B11,'[1]Cost Analysis'!$C:$FO,97,FALSE))</f>
        <v>-600000</v>
      </c>
      <c r="BI11" s="7">
        <f>IF(VLOOKUP($B11,'[1]Cost Analysis'!$C:$FO,98,FALSE)=0,"",VLOOKUP($B11,'[1]Cost Analysis'!$C:$FO,98,FALSE))</f>
        <v>-100000</v>
      </c>
      <c r="BJ11" s="7" t="str">
        <f>IF(VLOOKUP($B11,'[1]Cost Analysis'!$C:$FO,99,FALSE)=0,"",VLOOKUP($B11,'[1]Cost Analysis'!$C:$FO,99,FALSE))</f>
        <v/>
      </c>
      <c r="BK11" s="7" t="str">
        <f>IF(VLOOKUP($B11,'[1]Cost Analysis'!$C:$FO,100,FALSE)=0,"",VLOOKUP($B11,'[1]Cost Analysis'!$C:$FO,100,FALSE))</f>
        <v/>
      </c>
      <c r="BL11" s="7" t="str">
        <f>IF(VLOOKUP($B11,'[1]Cost Analysis'!$C:$FO,101,FALSE)=0,"",VLOOKUP($B11,'[1]Cost Analysis'!$C:$FO,101,FALSE))</f>
        <v/>
      </c>
      <c r="BM11" s="7" t="str">
        <f>IF(VLOOKUP($B11,'[1]Cost Analysis'!$C:$FO,102,FALSE)=0,"",VLOOKUP($B11,'[1]Cost Analysis'!$C:$FO,102,FALSE))</f>
        <v/>
      </c>
      <c r="BN11" s="7" t="str">
        <f>IF(VLOOKUP($B11,'[1]Cost Analysis'!$C:$FO,103,FALSE)=0,"",VLOOKUP($B11,'[1]Cost Analysis'!$C:$FO,103,FALSE))</f>
        <v/>
      </c>
      <c r="BO11" s="7">
        <f>IF(VLOOKUP($B11,'[1]Cost Analysis'!$C:$FO,104,FALSE)=0,"",VLOOKUP($B11,'[1]Cost Analysis'!$C:$FO,104,FALSE))</f>
        <v>-700000</v>
      </c>
      <c r="BP11" s="7">
        <f>IF(VLOOKUP($B11,'[1]Cost Analysis'!$C:$FO,105,FALSE)=0,"",VLOOKUP($B11,'[1]Cost Analysis'!$C:$FO,105,FALSE))</f>
        <v>-1000000</v>
      </c>
      <c r="BQ11" s="7" t="str">
        <f>IF(VLOOKUP($B11,'[1]Cost Analysis'!$C:$FO,106,FALSE)=0,"",VLOOKUP($B11,'[1]Cost Analysis'!$C:$FO,106,FALSE))</f>
        <v/>
      </c>
      <c r="BR11" s="7">
        <f>IF(VLOOKUP($B11,'[1]Cost Analysis'!$C:$FO,107,FALSE)=0,"",VLOOKUP($B11,'[1]Cost Analysis'!$C:$FO,107,FALSE))</f>
        <v>-100000</v>
      </c>
      <c r="BS11" s="7" t="str">
        <f>IF(VLOOKUP($B11,'[1]Cost Analysis'!$C:$FO,108,FALSE)=0,"",VLOOKUP($B11,'[1]Cost Analysis'!$C:$FO,108,FALSE))</f>
        <v/>
      </c>
      <c r="BT11" s="7" t="str">
        <f>IF(VLOOKUP($B11,'[1]Cost Analysis'!$C:$FO,109,FALSE)=0,"",VLOOKUP($B11,'[1]Cost Analysis'!$C:$FO,109,FALSE))</f>
        <v/>
      </c>
      <c r="BU11" s="7" t="str">
        <f>IF(VLOOKUP($B11,'[1]Cost Analysis'!$C:$FO,110,FALSE)=0,"",VLOOKUP($B11,'[1]Cost Analysis'!$C:$FO,110,FALSE))</f>
        <v/>
      </c>
      <c r="BV11" s="7">
        <f>IF(VLOOKUP($B11,'[1]Cost Analysis'!$C:$FO,111,FALSE)=0,"",VLOOKUP($B11,'[1]Cost Analysis'!$C:$FO,111,FALSE))</f>
        <v>-100000</v>
      </c>
      <c r="BW11" s="7">
        <f>IF(VLOOKUP($B11,'[1]Cost Analysis'!$C:$FO,112,FALSE)=0,"",VLOOKUP($B11,'[1]Cost Analysis'!$C:$FO,112,FALSE))</f>
        <v>97905057.298765123</v>
      </c>
      <c r="BX11" s="7">
        <f>IF(VLOOKUP($B11,'[1]Cost Analysis'!$C:$FO,125,FALSE)=0,"",VLOOKUP($B11,'[1]Cost Analysis'!$C:$FO,125,FALSE))</f>
        <v>2316833</v>
      </c>
      <c r="BY11" s="7">
        <f>IF(VLOOKUP($B11,'[1]Cost Analysis'!$C:$FO,126,FALSE)=0,"",VLOOKUP($B11,'[1]Cost Analysis'!$C:$FO,126,FALSE))</f>
        <v>4095385</v>
      </c>
      <c r="BZ11" s="7">
        <f>IF(VLOOKUP($B11,'[1]Cost Analysis'!$C:$FO,127,FALSE)=0,"",VLOOKUP($B11,'[1]Cost Analysis'!$C:$FO,127,FALSE))</f>
        <v>1625287</v>
      </c>
      <c r="CA11" s="7">
        <f>IF(VLOOKUP($B11,'[1]Cost Analysis'!$C:$FO,128,FALSE)=0,"",VLOOKUP($B11,'[1]Cost Analysis'!$C:$FO,128,FALSE))</f>
        <v>375000</v>
      </c>
      <c r="CB11" s="7">
        <f>IF(VLOOKUP($B11,'[1]Cost Analysis'!$C:$FO,129,FALSE)=0,"",VLOOKUP($B11,'[1]Cost Analysis'!$C:$FO,129,FALSE))</f>
        <v>125000</v>
      </c>
      <c r="CC11" s="7">
        <f>IF(VLOOKUP($B11,'[1]Cost Analysis'!$C:$FO,130,FALSE)=0,"",VLOOKUP($B11,'[1]Cost Analysis'!$C:$FO,130,FALSE))</f>
        <v>180000</v>
      </c>
      <c r="CD11" s="7" t="str">
        <f>IF(VLOOKUP($B11,'[1]Cost Analysis'!$C:$FO,131,FALSE)=0,"",VLOOKUP($B11,'[1]Cost Analysis'!$C:$FO,131,FALSE))</f>
        <v/>
      </c>
      <c r="CE11" s="7">
        <f>IF(VLOOKUP($B11,'[1]Cost Analysis'!$C:$FO,132,FALSE)=0,"",VLOOKUP($B11,'[1]Cost Analysis'!$C:$FO,132,FALSE))</f>
        <v>150000</v>
      </c>
      <c r="CF11" s="7">
        <f>IF(VLOOKUP($B11,'[1]Cost Analysis'!$C:$FO,133,FALSE)=0,"",VLOOKUP($B11,'[1]Cost Analysis'!$C:$FO,133,FALSE))</f>
        <v>19705251</v>
      </c>
      <c r="CG11" s="7">
        <f>IF(VLOOKUP($B11,'[1]Cost Analysis'!$C:$FO,134,FALSE)=0,"",VLOOKUP($B11,'[1]Cost Analysis'!$C:$FO,134,FALSE))</f>
        <v>39049332</v>
      </c>
      <c r="CH11" s="7">
        <f>IF(VLOOKUP($B11,'[1]Cost Analysis'!$C:$FO,135,FALSE)=0,"",VLOOKUP($B11,'[1]Cost Analysis'!$C:$FO,135,FALSE))</f>
        <v>67622088</v>
      </c>
      <c r="CI11" s="7">
        <f>IF(VLOOKUP($B11,'[1]Cost Analysis'!$C:$FO,136,FALSE)=0,"",VLOOKUP($B11,'[1]Cost Analysis'!$C:$FO,136,FALSE))</f>
        <v>-600000</v>
      </c>
      <c r="CJ11" s="7">
        <f>IF(VLOOKUP($B11,'[1]Cost Analysis'!$C:$FO,137,FALSE)=0,"",VLOOKUP($B11,'[1]Cost Analysis'!$C:$FO,137,FALSE))</f>
        <v>-1000000</v>
      </c>
      <c r="CK11" s="7">
        <f>IF(VLOOKUP($B11,'[1]Cost Analysis'!$C:$FO,138,FALSE)=0,"",VLOOKUP($B11,'[1]Cost Analysis'!$C:$FO,138,FALSE))</f>
        <v>-100000</v>
      </c>
      <c r="CL11" s="7">
        <f>IF(VLOOKUP($B11,'[1]Cost Analysis'!$C:$FO,139,FALSE)=0,"",VLOOKUP($B11,'[1]Cost Analysis'!$C:$FO,139,FALSE))</f>
        <v>65922088</v>
      </c>
    </row>
    <row r="12" spans="1:90" ht="30" x14ac:dyDescent="0.25">
      <c r="A12" s="13" t="s">
        <v>31</v>
      </c>
      <c r="B12" s="13" t="s">
        <v>48</v>
      </c>
      <c r="C12" s="19" t="str">
        <f>VLOOKUP($B12,'[1]Cost Analysis'!$C:$FO,7,FALSE)</f>
        <v>Milestone 3</v>
      </c>
      <c r="D12" s="19" t="str">
        <f>VLOOKUP($B12,'[1]Cost Analysis'!$C:$FO,8,FALSE)</f>
        <v>Under Construction</v>
      </c>
      <c r="E12" s="18">
        <f>IF(ISERROR(VLOOKUP($B12,'[1]Cost Analysis'!$C:$FO,9,FALSE)),"",VLOOKUP($B12,'[1]Cost Analysis'!$C:$FO,9,FALSE))</f>
        <v>53843024.256789021</v>
      </c>
      <c r="F12" s="17">
        <f>IF(ISERROR(VLOOKUP($B12,'[1]Cost Analysis'!$C:$FO,10,FALSE)),"",VLOOKUP($B12,'[1]Cost Analysis'!$C:$FO,10,FALSE))</f>
        <v>624.80301077781542</v>
      </c>
      <c r="G12" s="9">
        <f>IF(ISERROR(VLOOKUP($B12,'[1]Cost Analysis'!$C:$FO,12,FALSE)),"",VLOOKUP($B12,'[1]Cost Analysis'!$C:$FO,12,FALSE))</f>
        <v>1060372.0998999998</v>
      </c>
      <c r="H12" s="17">
        <f>IF(ISERROR(VLOOKUP($B12,'[1]Cost Analysis'!$C:$FO,13,FALSE)),"",VLOOKUP($B12,'[1]Cost Analysis'!$C:$FO,13,FALSE))</f>
        <v>13.584154519819901</v>
      </c>
      <c r="I12" s="16">
        <f>IF(ISERROR(VLOOKUP($B12,'[1]Cost Analysis'!$C:$FO,14,FALSE)),"",VLOOKUP($B12,'[1]Cost Analysis'!$C:$FO,14,FALSE))</f>
        <v>2.1741499777520323E-2</v>
      </c>
      <c r="J12" s="18">
        <f>IF(ISERROR(VLOOKUP($B12,'[1]Cost Analysis'!$C:$FO,15,FALSE)),"",VLOOKUP($B12,'[1]Cost Analysis'!$C:$FO,15,FALSE))</f>
        <v>938723</v>
      </c>
      <c r="K12" s="16">
        <f>IF(ISERROR(VLOOKUP($B12,'[1]Cost Analysis'!$C:$FO,16,FALSE)),"",VLOOKUP($B12,'[1]Cost Analysis'!$C:$FO,16,FALSE))</f>
        <v>1.7434440449017631E-2</v>
      </c>
      <c r="L12" s="17">
        <f>IF(ISERROR(VLOOKUP($B12,'[1]Cost Analysis'!$C:$FO,17,FALSE)),"",VLOOKUP($B12,'[1]Cost Analysis'!$C:$FO,17,FALSE))</f>
        <v>121649.0998999998</v>
      </c>
      <c r="M12" s="17">
        <f>IF(ISERROR(VLOOKUP($B12,'[1]Cost Analysis'!$C:$FO,18,FALSE)),"",VLOOKUP($B12,'[1]Cost Analysis'!$C:$FO,18,FALSE))</f>
        <v>2.7388133136652297</v>
      </c>
      <c r="N12" s="16">
        <f>IF(ISERROR(VLOOKUP($B12,'[1]Cost Analysis'!$C:$FO,19,FALSE)),"",VLOOKUP($B12,'[1]Cost Analysis'!$C:$FO,19,FALSE))</f>
        <v>4.3834829000834828E-3</v>
      </c>
      <c r="O12" s="11" t="str">
        <f>IF(ISERROR(VLOOKUP($B12,'[1]Cost Analysis'!$C:$FO,36,FALSE)),"",VLOOKUP($B12,'[1]Cost Analysis'!$C:$FO,36,FALSE))</f>
        <v>-</v>
      </c>
      <c r="P12" s="13" t="str">
        <f>IF(ISERROR(VLOOKUP($B12,'[1]Cost Analysis'!$C:$FO,37,FALSE)),"",VLOOKUP($B12,'[1]Cost Analysis'!$C:$FO,37,FALSE))</f>
        <v>-</v>
      </c>
      <c r="Q12" s="11">
        <f>VLOOKUP($B12,'[1]Cost Analysis'!$C:$FO,39,FALSE)</f>
        <v>86176</v>
      </c>
      <c r="R12" s="11">
        <f>VLOOKUP($B12,'[1]Cost Analysis'!$C:$FO,40,FALSE)</f>
        <v>75523</v>
      </c>
      <c r="S12" s="13">
        <f>VLOOKUP($B12,'[1]Cost Analysis'!$C:$FO,41,FALSE)</f>
        <v>1</v>
      </c>
      <c r="T12" s="13">
        <f>VLOOKUP($B12,'[1]Cost Analysis'!$C:$FO,42,FALSE)</f>
        <v>13</v>
      </c>
      <c r="U12" s="13">
        <f>VLOOKUP($B12,'[1]Cost Analysis'!$C:$FO,43,FALSE)</f>
        <v>96</v>
      </c>
      <c r="V12" s="13" t="str">
        <f>VLOOKUP($B12,'[1]Cost Analysis'!$C:$FO,44,FALSE)</f>
        <v>ASHRAE</v>
      </c>
      <c r="W12" s="13" t="str">
        <f>VLOOKUP($B12,'[1]Cost Analysis'!$C:$FO,45,FALSE)</f>
        <v>NYC</v>
      </c>
      <c r="X12" s="15" t="str">
        <f>VLOOKUP($B12,'[1]Cost Analysis'!$C:$FO,46,FALSE)</f>
        <v>Fossil Fuels</v>
      </c>
      <c r="Y12" s="14" t="str">
        <f>VLOOKUP($B12,'[1]Cost Analysis'!$C:$FO,47,FALSE)</f>
        <v>LMI</v>
      </c>
      <c r="Z12" s="13" t="str">
        <f>VLOOKUP($B12,'[1]Cost Analysis'!$C:$FO,48,FALSE)</f>
        <v>Yes</v>
      </c>
      <c r="AA12" s="13" t="str">
        <f>VLOOKUP($B12,'[1]Cost Analysis'!$C:$FO,49,FALSE)</f>
        <v>Block and Plank</v>
      </c>
      <c r="AB12" s="13" t="str">
        <f>VLOOKUP($B12,'[1]Cost Analysis'!$C:$FO,50,FALSE)</f>
        <v>VRF - ASHP</v>
      </c>
      <c r="AC12" s="13" t="str">
        <f>VLOOKUP($B12,'[1]Cost Analysis'!$C:$FO,51,FALSE)</f>
        <v>ERV</v>
      </c>
      <c r="AD12" s="13" t="str">
        <f>VLOOKUP($B12,'[1]Cost Analysis'!$C:$FO,52,FALSE)</f>
        <v>Fossil Fuel</v>
      </c>
      <c r="AE12" s="13" t="str">
        <f>VLOOKUP($B12,'[1]Cost Analysis'!$C:$FO,53,FALSE)</f>
        <v>Yes</v>
      </c>
      <c r="AF12" s="13" t="str">
        <f>VLOOKUP($B12,'[1]Cost Analysis'!$C:$FO,54,FALSE)</f>
        <v>Mid Rise</v>
      </c>
      <c r="AG12" s="13" t="str">
        <f>IF(VLOOKUP($B12,'[1]Cost Analysis'!$C:$FO,55,FALSE)="PV","Yes","No")</f>
        <v>No</v>
      </c>
      <c r="AH12" s="13" t="str">
        <f>VLOOKUP($B12,'[1]Cost Analysis'!$C:$FO,57,FALSE)</f>
        <v>No</v>
      </c>
      <c r="AI12" s="13" t="str">
        <f>VLOOKUP($B12,'[1]Cost Analysis'!$C:$FO,58,FALSE)</f>
        <v>No</v>
      </c>
      <c r="AJ12" s="13" t="str">
        <f>VLOOKUP($B12,'[1]Cost Analysis'!$C:$FO,59,FALSE)</f>
        <v>No</v>
      </c>
      <c r="AK12" s="13">
        <f>VLOOKUP($B12,'[1]Cost Analysis'!$C:$FO,60,FALSE)</f>
        <v>4</v>
      </c>
      <c r="AL12" s="13" t="str">
        <f>VLOOKUP($B12,'[1]Cost Analysis'!$C:$FO,61,FALSE)</f>
        <v>Yes</v>
      </c>
      <c r="AM12" s="13" t="str">
        <f>VLOOKUP($B12,'[1]Cost Analysis'!$C:$FO,62,FALSE)</f>
        <v>NC</v>
      </c>
      <c r="AN12" s="12" t="str">
        <f>VLOOKUP($B12,'[1]Cost Analysis'!$C:$FO,63,FALSE)</f>
        <v>2016 ECCC of NYS</v>
      </c>
      <c r="AO12" s="12" t="str">
        <f>VLOOKUP($B12,'[1]Cost Analysis'!$C:$FO,67,FALSE)</f>
        <v>Yes</v>
      </c>
      <c r="AP12" s="12" t="str">
        <f>VLOOKUP($B12,'[1]Cost Analysis'!$C:$FO,69,FALSE)</f>
        <v>Yes</v>
      </c>
      <c r="AQ12" s="11">
        <f>VLOOKUP($B12,'[1]Cost Analysis'!$C:$FO,74,FALSE)</f>
        <v>5458349</v>
      </c>
      <c r="AR12" s="11">
        <f>VLOOKUP($B12,'[1]Cost Analysis'!$C:$FO,75,FALSE)</f>
        <v>5458349</v>
      </c>
      <c r="AS12" s="10">
        <f>IF(ISERROR(VLOOKUP($B12,'[1]Cost Analysis'!$C:$FO,76,FALSE)),"",VLOOKUP($B12,'[1]Cost Analysis'!$C:$FO,76,FALSE))</f>
        <v>0</v>
      </c>
      <c r="AT12" s="9">
        <f>VLOOKUP($B12,'[1]Cost Analysis'!$C:$FO,78,FALSE)</f>
        <v>83675</v>
      </c>
      <c r="AU12" s="9">
        <f>VLOOKUP($B12,'[1]Cost Analysis'!$C:$FO,82,FALSE)</f>
        <v>1.107940627358553</v>
      </c>
      <c r="AV12" s="8">
        <f>VLOOKUP($B12,'[1]Cost Analysis'!$C:$FO,83,FALSE)</f>
        <v>63.33954929446714</v>
      </c>
      <c r="AW12" s="7">
        <f>IF(VLOOKUP($B12,'[1]Cost Analysis'!$C:$FO,86,FALSE)=0,"",VLOOKUP($B12,'[1]Cost Analysis'!$C:$FO,86,FALSE))</f>
        <v>1592848.1643980001</v>
      </c>
      <c r="AX12" s="7">
        <f>IF(VLOOKUP($B12,'[1]Cost Analysis'!$C:$FO,87,FALSE)=0,"",VLOOKUP($B12,'[1]Cost Analysis'!$C:$FO,87,FALSE))</f>
        <v>4967658.2130019991</v>
      </c>
      <c r="AY12" s="7">
        <f>IF(VLOOKUP($B12,'[1]Cost Analysis'!$C:$FO,88,FALSE)=0,"",VLOOKUP($B12,'[1]Cost Analysis'!$C:$FO,88,FALSE))</f>
        <v>1059435.67</v>
      </c>
      <c r="AZ12" s="7">
        <f>IF(VLOOKUP($B12,'[1]Cost Analysis'!$C:$FO,89,FALSE)=0,"",VLOOKUP($B12,'[1]Cost Analysis'!$C:$FO,89,FALSE))</f>
        <v>183414</v>
      </c>
      <c r="BA12" s="7">
        <f>IF(VLOOKUP($B12,'[1]Cost Analysis'!$C:$FO,90,FALSE)=0,"",VLOOKUP($B12,'[1]Cost Analysis'!$C:$FO,90,FALSE))</f>
        <v>254596.04</v>
      </c>
      <c r="BB12" s="7">
        <f>IF(VLOOKUP($B12,'[1]Cost Analysis'!$C:$FO,91,FALSE)=0,"",VLOOKUP($B12,'[1]Cost Analysis'!$C:$FO,91,FALSE))</f>
        <v>807248.03250000044</v>
      </c>
      <c r="BC12" s="7">
        <f>IF(VLOOKUP($B12,'[1]Cost Analysis'!$C:$FO,92,FALSE)=0,"",VLOOKUP($B12,'[1]Cost Analysis'!$C:$FO,92,FALSE))</f>
        <v>325541.73</v>
      </c>
      <c r="BD12" s="7">
        <f>IF(VLOOKUP($B12,'[1]Cost Analysis'!$C:$FO,93,FALSE)=0,"",VLOOKUP($B12,'[1]Cost Analysis'!$C:$FO,93,FALSE))</f>
        <v>689125</v>
      </c>
      <c r="BE12" s="7">
        <f>IF(VLOOKUP($B12,'[1]Cost Analysis'!$C:$FO,94,FALSE)=0,"",VLOOKUP($B12,'[1]Cost Analysis'!$C:$FO,94,FALSE))</f>
        <v>502235.25</v>
      </c>
      <c r="BF12" s="7">
        <f>IF(VLOOKUP($B12,'[1]Cost Analysis'!$C:$FO,95,FALSE)=0,"",VLOOKUP($B12,'[1]Cost Analysis'!$C:$FO,95,FALSE))</f>
        <v>43460922.156889021</v>
      </c>
      <c r="BG12" s="7">
        <f>IF(VLOOKUP($B12,'[1]Cost Analysis'!$C:$FO,96,FALSE)=0,"",VLOOKUP($B12,'[1]Cost Analysis'!$C:$FO,96,FALSE))</f>
        <v>53843024.256789021</v>
      </c>
      <c r="BH12" s="7">
        <f>IF(VLOOKUP($B12,'[1]Cost Analysis'!$C:$FO,97,FALSE)=0,"",VLOOKUP($B12,'[1]Cost Analysis'!$C:$FO,97,FALSE))</f>
        <v>-77600</v>
      </c>
      <c r="BI12" s="7">
        <f>IF(VLOOKUP($B12,'[1]Cost Analysis'!$C:$FO,98,FALSE)=0,"",VLOOKUP($B12,'[1]Cost Analysis'!$C:$FO,98,FALSE))</f>
        <v>-50024</v>
      </c>
      <c r="BJ12" s="7">
        <f>IF(VLOOKUP($B12,'[1]Cost Analysis'!$C:$FO,99,FALSE)=0,"",VLOOKUP($B12,'[1]Cost Analysis'!$C:$FO,99,FALSE))</f>
        <v>-108000</v>
      </c>
      <c r="BK12" s="7" t="str">
        <f>IF(VLOOKUP($B12,'[1]Cost Analysis'!$C:$FO,100,FALSE)=0,"",VLOOKUP($B12,'[1]Cost Analysis'!$C:$FO,100,FALSE))</f>
        <v/>
      </c>
      <c r="BL12" s="7" t="str">
        <f>IF(VLOOKUP($B12,'[1]Cost Analysis'!$C:$FO,101,FALSE)=0,"",VLOOKUP($B12,'[1]Cost Analysis'!$C:$FO,101,FALSE))</f>
        <v/>
      </c>
      <c r="BM12" s="7" t="str">
        <f>IF(VLOOKUP($B12,'[1]Cost Analysis'!$C:$FO,102,FALSE)=0,"",VLOOKUP($B12,'[1]Cost Analysis'!$C:$FO,102,FALSE))</f>
        <v/>
      </c>
      <c r="BN12" s="7" t="str">
        <f>IF(VLOOKUP($B12,'[1]Cost Analysis'!$C:$FO,103,FALSE)=0,"",VLOOKUP($B12,'[1]Cost Analysis'!$C:$FO,103,FALSE))</f>
        <v/>
      </c>
      <c r="BO12" s="7">
        <f>IF(VLOOKUP($B12,'[1]Cost Analysis'!$C:$FO,104,FALSE)=0,"",VLOOKUP($B12,'[1]Cost Analysis'!$C:$FO,104,FALSE))</f>
        <v>-235624</v>
      </c>
      <c r="BP12" s="7">
        <f>IF(VLOOKUP($B12,'[1]Cost Analysis'!$C:$FO,105,FALSE)=0,"",VLOOKUP($B12,'[1]Cost Analysis'!$C:$FO,105,FALSE))</f>
        <v>-647500</v>
      </c>
      <c r="BQ12" s="7" t="str">
        <f>IF(VLOOKUP($B12,'[1]Cost Analysis'!$C:$FO,106,FALSE)=0,"",VLOOKUP($B12,'[1]Cost Analysis'!$C:$FO,106,FALSE))</f>
        <v/>
      </c>
      <c r="BR12" s="7">
        <f>IF(VLOOKUP($B12,'[1]Cost Analysis'!$C:$FO,107,FALSE)=0,"",VLOOKUP($B12,'[1]Cost Analysis'!$C:$FO,107,FALSE))</f>
        <v>-55599</v>
      </c>
      <c r="BS12" s="7" t="str">
        <f>IF(VLOOKUP($B12,'[1]Cost Analysis'!$C:$FO,108,FALSE)=0,"",VLOOKUP($B12,'[1]Cost Analysis'!$C:$FO,108,FALSE))</f>
        <v/>
      </c>
      <c r="BT12" s="7" t="str">
        <f>IF(VLOOKUP($B12,'[1]Cost Analysis'!$C:$FO,109,FALSE)=0,"",VLOOKUP($B12,'[1]Cost Analysis'!$C:$FO,109,FALSE))</f>
        <v/>
      </c>
      <c r="BU12" s="7" t="str">
        <f>IF(VLOOKUP($B12,'[1]Cost Analysis'!$C:$FO,110,FALSE)=0,"",VLOOKUP($B12,'[1]Cost Analysis'!$C:$FO,110,FALSE))</f>
        <v/>
      </c>
      <c r="BV12" s="7">
        <f>IF(VLOOKUP($B12,'[1]Cost Analysis'!$C:$FO,111,FALSE)=0,"",VLOOKUP($B12,'[1]Cost Analysis'!$C:$FO,111,FALSE))</f>
        <v>-55599</v>
      </c>
      <c r="BW12" s="7">
        <f>IF(VLOOKUP($B12,'[1]Cost Analysis'!$C:$FO,112,FALSE)=0,"",VLOOKUP($B12,'[1]Cost Analysis'!$C:$FO,112,FALSE))</f>
        <v>52904301.256789021</v>
      </c>
      <c r="BX12" s="7">
        <f>IF(VLOOKUP($B12,'[1]Cost Analysis'!$C:$FO,125,FALSE)=0,"",VLOOKUP($B12,'[1]Cost Analysis'!$C:$FO,125,FALSE))</f>
        <v>1555370</v>
      </c>
      <c r="BY12" s="7">
        <f>IF(VLOOKUP($B12,'[1]Cost Analysis'!$C:$FO,126,FALSE)=0,"",VLOOKUP($B12,'[1]Cost Analysis'!$C:$FO,126,FALSE))</f>
        <v>4870290</v>
      </c>
      <c r="BZ12" s="7">
        <f>IF(VLOOKUP($B12,'[1]Cost Analysis'!$C:$FO,127,FALSE)=0,"",VLOOKUP($B12,'[1]Cost Analysis'!$C:$FO,127,FALSE))</f>
        <v>1308245</v>
      </c>
      <c r="CA12" s="7">
        <f>IF(VLOOKUP($B12,'[1]Cost Analysis'!$C:$FO,128,FALSE)=0,"",VLOOKUP($B12,'[1]Cost Analysis'!$C:$FO,128,FALSE))</f>
        <v>178195</v>
      </c>
      <c r="CB12" s="7" t="str">
        <f>IF(VLOOKUP($B12,'[1]Cost Analysis'!$C:$FO,129,FALSE)=0,"",VLOOKUP($B12,'[1]Cost Analysis'!$C:$FO,129,FALSE))</f>
        <v/>
      </c>
      <c r="CC12" s="7">
        <f>IF(VLOOKUP($B12,'[1]Cost Analysis'!$C:$FO,130,FALSE)=0,"",VLOOKUP($B12,'[1]Cost Analysis'!$C:$FO,130,FALSE))</f>
        <v>387520</v>
      </c>
      <c r="CD12" s="7" t="str">
        <f>IF(VLOOKUP($B12,'[1]Cost Analysis'!$C:$FO,131,FALSE)=0,"",VLOOKUP($B12,'[1]Cost Analysis'!$C:$FO,131,FALSE))</f>
        <v/>
      </c>
      <c r="CE12" s="7">
        <f>IF(VLOOKUP($B12,'[1]Cost Analysis'!$C:$FO,132,FALSE)=0,"",VLOOKUP($B12,'[1]Cost Analysis'!$C:$FO,132,FALSE))</f>
        <v>453360</v>
      </c>
      <c r="CF12" s="7">
        <f>IF(VLOOKUP($B12,'[1]Cost Analysis'!$C:$FO,133,FALSE)=0,"",VLOOKUP($B12,'[1]Cost Analysis'!$C:$FO,133,FALSE))</f>
        <v>568750</v>
      </c>
      <c r="CG12" s="7">
        <f>IF(VLOOKUP($B12,'[1]Cost Analysis'!$C:$FO,134,FALSE)=0,"",VLOOKUP($B12,'[1]Cost Analysis'!$C:$FO,134,FALSE))</f>
        <v>43460922.156889021</v>
      </c>
      <c r="CH12" s="7">
        <f>IF(VLOOKUP($B12,'[1]Cost Analysis'!$C:$FO,135,FALSE)=0,"",VLOOKUP($B12,'[1]Cost Analysis'!$C:$FO,135,FALSE))</f>
        <v>52782652.156889021</v>
      </c>
      <c r="CI12" s="7">
        <f>IF(VLOOKUP($B12,'[1]Cost Analysis'!$C:$FO,136,FALSE)=0,"",VLOOKUP($B12,'[1]Cost Analysis'!$C:$FO,136,FALSE))</f>
        <v>-110256</v>
      </c>
      <c r="CJ12" s="7" t="str">
        <f>IF(VLOOKUP($B12,'[1]Cost Analysis'!$C:$FO,137,FALSE)=0,"",VLOOKUP($B12,'[1]Cost Analysis'!$C:$FO,137,FALSE))</f>
        <v/>
      </c>
      <c r="CK12" s="7" t="str">
        <f>IF(VLOOKUP($B12,'[1]Cost Analysis'!$C:$FO,138,FALSE)=0,"",VLOOKUP($B12,'[1]Cost Analysis'!$C:$FO,138,FALSE))</f>
        <v/>
      </c>
      <c r="CL12" s="7">
        <f>IF(VLOOKUP($B12,'[1]Cost Analysis'!$C:$FO,139,FALSE)=0,"",VLOOKUP($B12,'[1]Cost Analysis'!$C:$FO,139,FALSE))</f>
        <v>52672396.156889021</v>
      </c>
    </row>
    <row r="13" spans="1:90" ht="30" x14ac:dyDescent="0.25">
      <c r="A13" s="13" t="s">
        <v>31</v>
      </c>
      <c r="B13" s="13" t="s">
        <v>47</v>
      </c>
      <c r="C13" s="19" t="str">
        <f>VLOOKUP($B13,'[1]Cost Analysis'!$C:$FO,7,FALSE)</f>
        <v>Proposal</v>
      </c>
      <c r="D13" s="19" t="str">
        <f>VLOOKUP($B13,'[1]Cost Analysis'!$C:$FO,8,FALSE)</f>
        <v>Early Design</v>
      </c>
      <c r="E13" s="18">
        <f>IF(ISERROR(VLOOKUP($B13,'[1]Cost Analysis'!$C:$FO,9,FALSE)),"",VLOOKUP($B13,'[1]Cost Analysis'!$C:$FO,9,FALSE))</f>
        <v>16500000</v>
      </c>
      <c r="F13" s="17">
        <f>IF(ISERROR(VLOOKUP($B13,'[1]Cost Analysis'!$C:$FO,10,FALSE)),"",VLOOKUP($B13,'[1]Cost Analysis'!$C:$FO,10,FALSE))</f>
        <v>176.15407609856086</v>
      </c>
      <c r="G13" s="9">
        <f>IF(ISERROR(VLOOKUP($B13,'[1]Cost Analysis'!$C:$FO,12,FALSE)),"",VLOOKUP($B13,'[1]Cost Analysis'!$C:$FO,12,FALSE))</f>
        <v>2475000</v>
      </c>
      <c r="H13" s="17">
        <f>IF(ISERROR(VLOOKUP($B13,'[1]Cost Analysis'!$C:$FO,13,FALSE)),"",VLOOKUP($B13,'[1]Cost Analysis'!$C:$FO,13,FALSE))</f>
        <v>26.423111414784131</v>
      </c>
      <c r="I13" s="16">
        <f>IF(ISERROR(VLOOKUP($B13,'[1]Cost Analysis'!$C:$FO,14,FALSE)),"",VLOOKUP($B13,'[1]Cost Analysis'!$C:$FO,14,FALSE))</f>
        <v>0.15</v>
      </c>
      <c r="J13" s="18">
        <f>IF(ISERROR(VLOOKUP($B13,'[1]Cost Analysis'!$C:$FO,15,FALSE)),"",VLOOKUP($B13,'[1]Cost Analysis'!$C:$FO,15,FALSE))</f>
        <v>1509600</v>
      </c>
      <c r="K13" s="16">
        <f>IF(ISERROR(VLOOKUP($B13,'[1]Cost Analysis'!$C:$FO,16,FALSE)),"",VLOOKUP($B13,'[1]Cost Analysis'!$C:$FO,16,FALSE))</f>
        <v>9.1490909090909095E-2</v>
      </c>
      <c r="L13" s="17">
        <f>IF(ISERROR(VLOOKUP($B13,'[1]Cost Analysis'!$C:$FO,17,FALSE)),"",VLOOKUP($B13,'[1]Cost Analysis'!$C:$FO,17,FALSE))</f>
        <v>965400</v>
      </c>
      <c r="M13" s="17">
        <f>IF(ISERROR(VLOOKUP($B13,'[1]Cost Analysis'!$C:$FO,18,FALSE)),"",VLOOKUP($B13,'[1]Cost Analysis'!$C:$FO,18,FALSE))</f>
        <v>10.306614852457617</v>
      </c>
      <c r="N13" s="16">
        <f>IF(ISERROR(VLOOKUP($B13,'[1]Cost Analysis'!$C:$FO,19,FALSE)),"",VLOOKUP($B13,'[1]Cost Analysis'!$C:$FO,19,FALSE))</f>
        <v>5.8509090909090906E-2</v>
      </c>
      <c r="O13" s="11">
        <f>IF(ISERROR(VLOOKUP($B13,'[1]Cost Analysis'!$C:$FO,36,FALSE)),"",VLOOKUP($B13,'[1]Cost Analysis'!$C:$FO,36,FALSE))</f>
        <v>3818721</v>
      </c>
      <c r="P13" s="13" t="str">
        <f>IF(ISERROR(VLOOKUP($B13,'[1]Cost Analysis'!$C:$FO,37,FALSE)),"",VLOOKUP($B13,'[1]Cost Analysis'!$C:$FO,37,FALSE))</f>
        <v>Onsite Solar electric (PV) Owned</v>
      </c>
      <c r="Q13" s="11">
        <f>VLOOKUP($B13,'[1]Cost Analysis'!$C:$FO,39,FALSE)</f>
        <v>93668</v>
      </c>
      <c r="R13" s="11">
        <f>VLOOKUP($B13,'[1]Cost Analysis'!$C:$FO,40,FALSE)</f>
        <v>93668</v>
      </c>
      <c r="S13" s="13">
        <f>VLOOKUP($B13,'[1]Cost Analysis'!$C:$FO,41,FALSE)</f>
        <v>12</v>
      </c>
      <c r="T13" s="13">
        <f>VLOOKUP($B13,'[1]Cost Analysis'!$C:$FO,42,FALSE)</f>
        <v>2</v>
      </c>
      <c r="U13" s="13">
        <f>VLOOKUP($B13,'[1]Cost Analysis'!$C:$FO,43,FALSE)</f>
        <v>96</v>
      </c>
      <c r="V13" s="13" t="str">
        <f>VLOOKUP($B13,'[1]Cost Analysis'!$C:$FO,44,FALSE)</f>
        <v>ERI</v>
      </c>
      <c r="W13" s="13" t="str">
        <f>VLOOKUP($B13,'[1]Cost Analysis'!$C:$FO,45,FALSE)</f>
        <v>Finger Lakes</v>
      </c>
      <c r="X13" s="15" t="str">
        <f>VLOOKUP($B13,'[1]Cost Analysis'!$C:$FO,46,FALSE)</f>
        <v>All Electric</v>
      </c>
      <c r="Y13" s="14" t="str">
        <f>VLOOKUP($B13,'[1]Cost Analysis'!$C:$FO,47,FALSE)</f>
        <v>LMI</v>
      </c>
      <c r="Z13" s="13" t="str">
        <f>VLOOKUP($B13,'[1]Cost Analysis'!$C:$FO,48,FALSE)</f>
        <v>Yes</v>
      </c>
      <c r="AA13" s="13" t="str">
        <f>VLOOKUP($B13,'[1]Cost Analysis'!$C:$FO,49,FALSE)</f>
        <v>Panelized</v>
      </c>
      <c r="AB13" s="13" t="str">
        <f>VLOOKUP($B13,'[1]Cost Analysis'!$C:$FO,50,FALSE)</f>
        <v>VRF - GSHP</v>
      </c>
      <c r="AC13" s="13" t="str">
        <f>VLOOKUP($B13,'[1]Cost Analysis'!$C:$FO,51,FALSE)</f>
        <v>ERV</v>
      </c>
      <c r="AD13" s="13" t="str">
        <f>VLOOKUP($B13,'[1]Cost Analysis'!$C:$FO,52,FALSE)</f>
        <v>GSHP</v>
      </c>
      <c r="AE13" s="13" t="str">
        <f>VLOOKUP($B13,'[1]Cost Analysis'!$C:$FO,53,FALSE)</f>
        <v>Yes</v>
      </c>
      <c r="AF13" s="13" t="str">
        <f>VLOOKUP($B13,'[1]Cost Analysis'!$C:$FO,54,FALSE)</f>
        <v>Low Rise</v>
      </c>
      <c r="AG13" s="13" t="str">
        <f>IF(VLOOKUP($B13,'[1]Cost Analysis'!$C:$FO,55,FALSE)="PV","Yes","No")</f>
        <v>Yes</v>
      </c>
      <c r="AH13" s="13" t="str">
        <f>VLOOKUP($B13,'[1]Cost Analysis'!$C:$FO,57,FALSE)</f>
        <v>Yes</v>
      </c>
      <c r="AI13" s="13" t="str">
        <f>VLOOKUP($B13,'[1]Cost Analysis'!$C:$FO,58,FALSE)</f>
        <v>No</v>
      </c>
      <c r="AJ13" s="13" t="str">
        <f>VLOOKUP($B13,'[1]Cost Analysis'!$C:$FO,59,FALSE)</f>
        <v>No</v>
      </c>
      <c r="AK13" s="13">
        <f>VLOOKUP($B13,'[1]Cost Analysis'!$C:$FO,60,FALSE)</f>
        <v>5</v>
      </c>
      <c r="AL13" s="13" t="str">
        <f>VLOOKUP($B13,'[1]Cost Analysis'!$C:$FO,61,FALSE)</f>
        <v>Yes</v>
      </c>
      <c r="AM13" s="13" t="str">
        <f>VLOOKUP($B13,'[1]Cost Analysis'!$C:$FO,62,FALSE)</f>
        <v>NC</v>
      </c>
      <c r="AN13" s="12" t="str">
        <f>VLOOKUP($B13,'[1]Cost Analysis'!$C:$FO,63,FALSE)</f>
        <v>2016 ECCC of NYS</v>
      </c>
      <c r="AO13" s="12" t="str">
        <f>VLOOKUP($B13,'[1]Cost Analysis'!$C:$FO,67,FALSE)</f>
        <v>No</v>
      </c>
      <c r="AP13" s="12" t="str">
        <f>VLOOKUP($B13,'[1]Cost Analysis'!$C:$FO,69,FALSE)</f>
        <v>No</v>
      </c>
      <c r="AQ13" s="11">
        <f>VLOOKUP($B13,'[1]Cost Analysis'!$C:$FO,74,FALSE)</f>
        <v>4580030</v>
      </c>
      <c r="AR13" s="11">
        <f>VLOOKUP($B13,'[1]Cost Analysis'!$C:$FO,75,FALSE)</f>
        <v>761309</v>
      </c>
      <c r="AS13" s="10">
        <f>IF(ISERROR(VLOOKUP($B13,'[1]Cost Analysis'!$C:$FO,76,FALSE)),"",VLOOKUP($B13,'[1]Cost Analysis'!$C:$FO,76,FALSE))</f>
        <v>0.83377641631168353</v>
      </c>
      <c r="AT13" s="9">
        <f>VLOOKUP($B13,'[1]Cost Analysis'!$C:$FO,78,FALSE)</f>
        <v>33380</v>
      </c>
      <c r="AU13" s="9">
        <f>VLOOKUP($B13,'[1]Cost Analysis'!$C:$FO,82,FALSE)</f>
        <v>0.35636503394969465</v>
      </c>
      <c r="AV13" s="8">
        <f>VLOOKUP($B13,'[1]Cost Analysis'!$C:$FO,83,FALSE)</f>
        <v>8.1277383951829876</v>
      </c>
      <c r="AW13" s="7" t="str">
        <f>IF(VLOOKUP($B13,'[1]Cost Analysis'!$C:$FO,86,FALSE)=0,"",VLOOKUP($B13,'[1]Cost Analysis'!$C:$FO,86,FALSE))</f>
        <v/>
      </c>
      <c r="AX13" s="7" t="str">
        <f>IF(VLOOKUP($B13,'[1]Cost Analysis'!$C:$FO,87,FALSE)=0,"",VLOOKUP($B13,'[1]Cost Analysis'!$C:$FO,87,FALSE))</f>
        <v/>
      </c>
      <c r="AY13" s="7" t="str">
        <f>IF(VLOOKUP($B13,'[1]Cost Analysis'!$C:$FO,88,FALSE)=0,"",VLOOKUP($B13,'[1]Cost Analysis'!$C:$FO,88,FALSE))</f>
        <v/>
      </c>
      <c r="AZ13" s="7" t="str">
        <f>IF(VLOOKUP($B13,'[1]Cost Analysis'!$C:$FO,89,FALSE)=0,"",VLOOKUP($B13,'[1]Cost Analysis'!$C:$FO,89,FALSE))</f>
        <v/>
      </c>
      <c r="BA13" s="7" t="str">
        <f>IF(VLOOKUP($B13,'[1]Cost Analysis'!$C:$FO,90,FALSE)=0,"",VLOOKUP($B13,'[1]Cost Analysis'!$C:$FO,90,FALSE))</f>
        <v/>
      </c>
      <c r="BB13" s="7" t="str">
        <f>IF(VLOOKUP($B13,'[1]Cost Analysis'!$C:$FO,91,FALSE)=0,"",VLOOKUP($B13,'[1]Cost Analysis'!$C:$FO,91,FALSE))</f>
        <v/>
      </c>
      <c r="BC13" s="7" t="str">
        <f>IF(VLOOKUP($B13,'[1]Cost Analysis'!$C:$FO,92,FALSE)=0,"",VLOOKUP($B13,'[1]Cost Analysis'!$C:$FO,92,FALSE))</f>
        <v/>
      </c>
      <c r="BD13" s="7" t="str">
        <f>IF(VLOOKUP($B13,'[1]Cost Analysis'!$C:$FO,93,FALSE)=0,"",VLOOKUP($B13,'[1]Cost Analysis'!$C:$FO,93,FALSE))</f>
        <v/>
      </c>
      <c r="BE13" s="7" t="str">
        <f>IF(VLOOKUP($B13,'[1]Cost Analysis'!$C:$FO,94,FALSE)=0,"",VLOOKUP($B13,'[1]Cost Analysis'!$C:$FO,94,FALSE))</f>
        <v/>
      </c>
      <c r="BF13" s="7" t="str">
        <f>IF(VLOOKUP($B13,'[1]Cost Analysis'!$C:$FO,95,FALSE)=0,"",VLOOKUP($B13,'[1]Cost Analysis'!$C:$FO,95,FALSE))</f>
        <v/>
      </c>
      <c r="BG13" s="7" t="str">
        <f>IF(VLOOKUP($B13,'[1]Cost Analysis'!$C:$FO,96,FALSE)=0,"",VLOOKUP($B13,'[1]Cost Analysis'!$C:$FO,96,FALSE))</f>
        <v/>
      </c>
      <c r="BH13" s="7" t="str">
        <f>IF(VLOOKUP($B13,'[1]Cost Analysis'!$C:$FO,97,FALSE)=0,"",VLOOKUP($B13,'[1]Cost Analysis'!$C:$FO,97,FALSE))</f>
        <v/>
      </c>
      <c r="BI13" s="7" t="str">
        <f>IF(VLOOKUP($B13,'[1]Cost Analysis'!$C:$FO,98,FALSE)=0,"",VLOOKUP($B13,'[1]Cost Analysis'!$C:$FO,98,FALSE))</f>
        <v/>
      </c>
      <c r="BJ13" s="7" t="str">
        <f>IF(VLOOKUP($B13,'[1]Cost Analysis'!$C:$FO,99,FALSE)=0,"",VLOOKUP($B13,'[1]Cost Analysis'!$C:$FO,99,FALSE))</f>
        <v/>
      </c>
      <c r="BK13" s="7" t="str">
        <f>IF(VLOOKUP($B13,'[1]Cost Analysis'!$C:$FO,100,FALSE)=0,"",VLOOKUP($B13,'[1]Cost Analysis'!$C:$FO,100,FALSE))</f>
        <v/>
      </c>
      <c r="BL13" s="7" t="str">
        <f>IF(VLOOKUP($B13,'[1]Cost Analysis'!$C:$FO,101,FALSE)=0,"",VLOOKUP($B13,'[1]Cost Analysis'!$C:$FO,101,FALSE))</f>
        <v/>
      </c>
      <c r="BM13" s="7" t="str">
        <f>IF(VLOOKUP($B13,'[1]Cost Analysis'!$C:$FO,102,FALSE)=0,"",VLOOKUP($B13,'[1]Cost Analysis'!$C:$FO,102,FALSE))</f>
        <v/>
      </c>
      <c r="BN13" s="7" t="str">
        <f>IF(VLOOKUP($B13,'[1]Cost Analysis'!$C:$FO,103,FALSE)=0,"",VLOOKUP($B13,'[1]Cost Analysis'!$C:$FO,103,FALSE))</f>
        <v/>
      </c>
      <c r="BO13" s="7" t="str">
        <f>IF(VLOOKUP($B13,'[1]Cost Analysis'!$C:$FO,104,FALSE)=0,"",VLOOKUP($B13,'[1]Cost Analysis'!$C:$FO,104,FALSE))</f>
        <v/>
      </c>
      <c r="BP13" s="7" t="str">
        <f>IF(VLOOKUP($B13,'[1]Cost Analysis'!$C:$FO,105,FALSE)=0,"",VLOOKUP($B13,'[1]Cost Analysis'!$C:$FO,105,FALSE))</f>
        <v/>
      </c>
      <c r="BQ13" s="7" t="str">
        <f>IF(VLOOKUP($B13,'[1]Cost Analysis'!$C:$FO,106,FALSE)=0,"",VLOOKUP($B13,'[1]Cost Analysis'!$C:$FO,106,FALSE))</f>
        <v/>
      </c>
      <c r="BR13" s="7" t="str">
        <f>IF(VLOOKUP($B13,'[1]Cost Analysis'!$C:$FO,107,FALSE)=0,"",VLOOKUP($B13,'[1]Cost Analysis'!$C:$FO,107,FALSE))</f>
        <v/>
      </c>
      <c r="BS13" s="7" t="str">
        <f>IF(VLOOKUP($B13,'[1]Cost Analysis'!$C:$FO,108,FALSE)=0,"",VLOOKUP($B13,'[1]Cost Analysis'!$C:$FO,108,FALSE))</f>
        <v/>
      </c>
      <c r="BT13" s="7" t="str">
        <f>IF(VLOOKUP($B13,'[1]Cost Analysis'!$C:$FO,109,FALSE)=0,"",VLOOKUP($B13,'[1]Cost Analysis'!$C:$FO,109,FALSE))</f>
        <v/>
      </c>
      <c r="BU13" s="7" t="str">
        <f>IF(VLOOKUP($B13,'[1]Cost Analysis'!$C:$FO,110,FALSE)=0,"",VLOOKUP($B13,'[1]Cost Analysis'!$C:$FO,110,FALSE))</f>
        <v/>
      </c>
      <c r="BV13" s="7" t="str">
        <f>IF(VLOOKUP($B13,'[1]Cost Analysis'!$C:$FO,111,FALSE)=0,"",VLOOKUP($B13,'[1]Cost Analysis'!$C:$FO,111,FALSE))</f>
        <v/>
      </c>
      <c r="BW13" s="7" t="str">
        <f>IF(VLOOKUP($B13,'[1]Cost Analysis'!$C:$FO,112,FALSE)=0,"",VLOOKUP($B13,'[1]Cost Analysis'!$C:$FO,112,FALSE))</f>
        <v/>
      </c>
      <c r="BX13" s="7" t="str">
        <f>IF(VLOOKUP($B13,'[1]Cost Analysis'!$C:$FO,125,FALSE)=0,"",VLOOKUP($B13,'[1]Cost Analysis'!$C:$FO,125,FALSE))</f>
        <v/>
      </c>
      <c r="BY13" s="7" t="str">
        <f>IF(VLOOKUP($B13,'[1]Cost Analysis'!$C:$FO,126,FALSE)=0,"",VLOOKUP($B13,'[1]Cost Analysis'!$C:$FO,126,FALSE))</f>
        <v/>
      </c>
      <c r="BZ13" s="7" t="str">
        <f>IF(VLOOKUP($B13,'[1]Cost Analysis'!$C:$FO,127,FALSE)=0,"",VLOOKUP($B13,'[1]Cost Analysis'!$C:$FO,127,FALSE))</f>
        <v/>
      </c>
      <c r="CA13" s="7" t="str">
        <f>IF(VLOOKUP($B13,'[1]Cost Analysis'!$C:$FO,128,FALSE)=0,"",VLOOKUP($B13,'[1]Cost Analysis'!$C:$FO,128,FALSE))</f>
        <v/>
      </c>
      <c r="CB13" s="7" t="str">
        <f>IF(VLOOKUP($B13,'[1]Cost Analysis'!$C:$FO,129,FALSE)=0,"",VLOOKUP($B13,'[1]Cost Analysis'!$C:$FO,129,FALSE))</f>
        <v/>
      </c>
      <c r="CC13" s="7" t="str">
        <f>IF(VLOOKUP($B13,'[1]Cost Analysis'!$C:$FO,130,FALSE)=0,"",VLOOKUP($B13,'[1]Cost Analysis'!$C:$FO,130,FALSE))</f>
        <v/>
      </c>
      <c r="CD13" s="7" t="str">
        <f>IF(VLOOKUP($B13,'[1]Cost Analysis'!$C:$FO,131,FALSE)=0,"",VLOOKUP($B13,'[1]Cost Analysis'!$C:$FO,131,FALSE))</f>
        <v/>
      </c>
      <c r="CE13" s="7" t="str">
        <f>IF(VLOOKUP($B13,'[1]Cost Analysis'!$C:$FO,132,FALSE)=0,"",VLOOKUP($B13,'[1]Cost Analysis'!$C:$FO,132,FALSE))</f>
        <v/>
      </c>
      <c r="CF13" s="7" t="str">
        <f>IF(VLOOKUP($B13,'[1]Cost Analysis'!$C:$FO,133,FALSE)=0,"",VLOOKUP($B13,'[1]Cost Analysis'!$C:$FO,133,FALSE))</f>
        <v/>
      </c>
      <c r="CG13" s="7" t="str">
        <f>IF(VLOOKUP($B13,'[1]Cost Analysis'!$C:$FO,134,FALSE)=0,"",VLOOKUP($B13,'[1]Cost Analysis'!$C:$FO,134,FALSE))</f>
        <v/>
      </c>
      <c r="CH13" s="7" t="str">
        <f>IF(VLOOKUP($B13,'[1]Cost Analysis'!$C:$FO,135,FALSE)=0,"",VLOOKUP($B13,'[1]Cost Analysis'!$C:$FO,135,FALSE))</f>
        <v/>
      </c>
      <c r="CI13" s="7" t="str">
        <f>IF(VLOOKUP($B13,'[1]Cost Analysis'!$C:$FO,136,FALSE)=0,"",VLOOKUP($B13,'[1]Cost Analysis'!$C:$FO,136,FALSE))</f>
        <v/>
      </c>
      <c r="CJ13" s="7" t="str">
        <f>IF(VLOOKUP($B13,'[1]Cost Analysis'!$C:$FO,137,FALSE)=0,"",VLOOKUP($B13,'[1]Cost Analysis'!$C:$FO,137,FALSE))</f>
        <v/>
      </c>
      <c r="CK13" s="7" t="str">
        <f>IF(VLOOKUP($B13,'[1]Cost Analysis'!$C:$FO,138,FALSE)=0,"",VLOOKUP($B13,'[1]Cost Analysis'!$C:$FO,138,FALSE))</f>
        <v/>
      </c>
      <c r="CL13" s="7" t="str">
        <f>IF(VLOOKUP($B13,'[1]Cost Analysis'!$C:$FO,139,FALSE)=0,"",VLOOKUP($B13,'[1]Cost Analysis'!$C:$FO,139,FALSE))</f>
        <v/>
      </c>
    </row>
    <row r="14" spans="1:90" ht="45" x14ac:dyDescent="0.25">
      <c r="A14" s="13" t="s">
        <v>31</v>
      </c>
      <c r="B14" s="13" t="s">
        <v>46</v>
      </c>
      <c r="C14" s="19" t="str">
        <f>VLOOKUP($B14,'[1]Cost Analysis'!$C:$FO,7,FALSE)</f>
        <v>Proposal</v>
      </c>
      <c r="D14" s="19" t="str">
        <f>VLOOKUP($B14,'[1]Cost Analysis'!$C:$FO,8,FALSE)</f>
        <v>Early Design</v>
      </c>
      <c r="E14" s="18">
        <f>IF(ISERROR(VLOOKUP($B14,'[1]Cost Analysis'!$C:$FO,9,FALSE)),"",VLOOKUP($B14,'[1]Cost Analysis'!$C:$FO,9,FALSE))</f>
        <v>65837961</v>
      </c>
      <c r="F14" s="17">
        <f>IF(ISERROR(VLOOKUP($B14,'[1]Cost Analysis'!$C:$FO,10,FALSE)),"",VLOOKUP($B14,'[1]Cost Analysis'!$C:$FO,10,FALSE))</f>
        <v>421.60849518759727</v>
      </c>
      <c r="G14" s="9">
        <f>IF(ISERROR(VLOOKUP($B14,'[1]Cost Analysis'!$C:$FO,12,FALSE)),"",VLOOKUP($B14,'[1]Cost Analysis'!$C:$FO,12,FALSE))</f>
        <v>16459490.25</v>
      </c>
      <c r="H14" s="17">
        <f>IF(ISERROR(VLOOKUP($B14,'[1]Cost Analysis'!$C:$FO,13,FALSE)),"",VLOOKUP($B14,'[1]Cost Analysis'!$C:$FO,13,FALSE))</f>
        <v>105.40212379689932</v>
      </c>
      <c r="I14" s="16">
        <f>IF(ISERROR(VLOOKUP($B14,'[1]Cost Analysis'!$C:$FO,14,FALSE)),"",VLOOKUP($B14,'[1]Cost Analysis'!$C:$FO,14,FALSE))</f>
        <v>0.25</v>
      </c>
      <c r="J14" s="18">
        <f>IF(ISERROR(VLOOKUP($B14,'[1]Cost Analysis'!$C:$FO,15,FALSE)),"",VLOOKUP($B14,'[1]Cost Analysis'!$C:$FO,15,FALSE))</f>
        <v>961820</v>
      </c>
      <c r="K14" s="16">
        <f>IF(ISERROR(VLOOKUP($B14,'[1]Cost Analysis'!$C:$FO,16,FALSE)),"",VLOOKUP($B14,'[1]Cost Analysis'!$C:$FO,16,FALSE))</f>
        <v>1.4608897137625511E-2</v>
      </c>
      <c r="L14" s="17">
        <f>IF(ISERROR(VLOOKUP($B14,'[1]Cost Analysis'!$C:$FO,17,FALSE)),"",VLOOKUP($B14,'[1]Cost Analysis'!$C:$FO,17,FALSE))</f>
        <v>15497670.25</v>
      </c>
      <c r="M14" s="17">
        <f>IF(ISERROR(VLOOKUP($B14,'[1]Cost Analysis'!$C:$FO,18,FALSE)),"",VLOOKUP($B14,'[1]Cost Analysis'!$C:$FO,18,FALSE))</f>
        <v>99.24288865835463</v>
      </c>
      <c r="N14" s="16">
        <f>IF(ISERROR(VLOOKUP($B14,'[1]Cost Analysis'!$C:$FO,19,FALSE)),"",VLOOKUP($B14,'[1]Cost Analysis'!$C:$FO,19,FALSE))</f>
        <v>0.2353911028623745</v>
      </c>
      <c r="O14" s="11">
        <f>IF(ISERROR(VLOOKUP($B14,'[1]Cost Analysis'!$C:$FO,36,FALSE)),"",VLOOKUP($B14,'[1]Cost Analysis'!$C:$FO,36,FALSE))</f>
        <v>2131296</v>
      </c>
      <c r="P14" s="13" t="str">
        <f>IF(ISERROR(VLOOKUP($B14,'[1]Cost Analysis'!$C:$FO,37,FALSE)),"",VLOOKUP($B14,'[1]Cost Analysis'!$C:$FO,37,FALSE))</f>
        <v>Onsite Solar electric (PV) Owned</v>
      </c>
      <c r="Q14" s="11">
        <f>VLOOKUP($B14,'[1]Cost Analysis'!$C:$FO,39,FALSE)</f>
        <v>156159</v>
      </c>
      <c r="R14" s="11">
        <f>VLOOKUP($B14,'[1]Cost Analysis'!$C:$FO,40,FALSE)</f>
        <v>94499</v>
      </c>
      <c r="S14" s="13">
        <f>VLOOKUP($B14,'[1]Cost Analysis'!$C:$FO,41,FALSE)</f>
        <v>1</v>
      </c>
      <c r="T14" s="13">
        <f>VLOOKUP($B14,'[1]Cost Analysis'!$C:$FO,42,FALSE)</f>
        <v>8</v>
      </c>
      <c r="U14" s="13">
        <f>VLOOKUP($B14,'[1]Cost Analysis'!$C:$FO,43,FALSE)</f>
        <v>88</v>
      </c>
      <c r="V14" s="13" t="str">
        <f>VLOOKUP($B14,'[1]Cost Analysis'!$C:$FO,44,FALSE)</f>
        <v>Phius</v>
      </c>
      <c r="W14" s="13" t="str">
        <f>VLOOKUP($B14,'[1]Cost Analysis'!$C:$FO,45,FALSE)</f>
        <v>Capital Region</v>
      </c>
      <c r="X14" s="15" t="str">
        <f>VLOOKUP($B14,'[1]Cost Analysis'!$C:$FO,46,FALSE)</f>
        <v>All Electric</v>
      </c>
      <c r="Y14" s="14" t="str">
        <f>VLOOKUP($B14,'[1]Cost Analysis'!$C:$FO,47,FALSE)</f>
        <v>LMI</v>
      </c>
      <c r="Z14" s="13" t="str">
        <f>VLOOKUP($B14,'[1]Cost Analysis'!$C:$FO,48,FALSE)</f>
        <v>Yes</v>
      </c>
      <c r="AA14" s="13" t="str">
        <f>VLOOKUP($B14,'[1]Cost Analysis'!$C:$FO,49,FALSE)</f>
        <v>Modular</v>
      </c>
      <c r="AB14" s="13" t="str">
        <f>VLOOKUP($B14,'[1]Cost Analysis'!$C:$FO,50,FALSE)</f>
        <v>GSHP</v>
      </c>
      <c r="AC14" s="13" t="str">
        <f>VLOOKUP($B14,'[1]Cost Analysis'!$C:$FO,51,FALSE)</f>
        <v>ERV</v>
      </c>
      <c r="AD14" s="13" t="str">
        <f>VLOOKUP($B14,'[1]Cost Analysis'!$C:$FO,52,FALSE)</f>
        <v>Solar Thermal</v>
      </c>
      <c r="AE14" s="13" t="str">
        <f>VLOOKUP($B14,'[1]Cost Analysis'!$C:$FO,53,FALSE)</f>
        <v>Yes</v>
      </c>
      <c r="AF14" s="13" t="str">
        <f>VLOOKUP($B14,'[1]Cost Analysis'!$C:$FO,54,FALSE)</f>
        <v>Mid Rise</v>
      </c>
      <c r="AG14" s="13" t="str">
        <f>IF(VLOOKUP($B14,'[1]Cost Analysis'!$C:$FO,55,FALSE)="PV","Yes","No")</f>
        <v>Yes</v>
      </c>
      <c r="AH14" s="13" t="str">
        <f>VLOOKUP($B14,'[1]Cost Analysis'!$C:$FO,57,FALSE)</f>
        <v>No</v>
      </c>
      <c r="AI14" s="13" t="str">
        <f>VLOOKUP($B14,'[1]Cost Analysis'!$C:$FO,58,FALSE)</f>
        <v>No</v>
      </c>
      <c r="AJ14" s="13" t="str">
        <f>VLOOKUP($B14,'[1]Cost Analysis'!$C:$FO,59,FALSE)</f>
        <v>GSHP</v>
      </c>
      <c r="AK14" s="13">
        <f>VLOOKUP($B14,'[1]Cost Analysis'!$C:$FO,60,FALSE)</f>
        <v>5</v>
      </c>
      <c r="AL14" s="13" t="str">
        <f>VLOOKUP($B14,'[1]Cost Analysis'!$C:$FO,61,FALSE)</f>
        <v>No</v>
      </c>
      <c r="AM14" s="13" t="str">
        <f>VLOOKUP($B14,'[1]Cost Analysis'!$C:$FO,62,FALSE)</f>
        <v>NC</v>
      </c>
      <c r="AN14" s="12" t="str">
        <f>VLOOKUP($B14,'[1]Cost Analysis'!$C:$FO,63,FALSE)</f>
        <v>2019 ECCC of NYS 2020 (expected)</v>
      </c>
      <c r="AO14" s="12" t="str">
        <f>VLOOKUP($B14,'[1]Cost Analysis'!$C:$FO,67,FALSE)</f>
        <v>Yes</v>
      </c>
      <c r="AP14" s="12" t="str">
        <f>VLOOKUP($B14,'[1]Cost Analysis'!$C:$FO,69,FALSE)</f>
        <v>Yes</v>
      </c>
      <c r="AQ14" s="11">
        <f>VLOOKUP($B14,'[1]Cost Analysis'!$C:$FO,74,FALSE)</f>
        <v>2437553</v>
      </c>
      <c r="AR14" s="11">
        <f>VLOOKUP($B14,'[1]Cost Analysis'!$C:$FO,75,FALSE)</f>
        <v>0</v>
      </c>
      <c r="AS14" s="10">
        <f>IF(ISERROR(VLOOKUP($B14,'[1]Cost Analysis'!$C:$FO,76,FALSE)),"",VLOOKUP($B14,'[1]Cost Analysis'!$C:$FO,76,FALSE))</f>
        <v>1</v>
      </c>
      <c r="AT14" s="9">
        <f>VLOOKUP($B14,'[1]Cost Analysis'!$C:$FO,78,FALSE)</f>
        <v>0</v>
      </c>
      <c r="AU14" s="9">
        <f>VLOOKUP($B14,'[1]Cost Analysis'!$C:$FO,82,FALSE)</f>
        <v>0</v>
      </c>
      <c r="AV14" s="8">
        <f>VLOOKUP($B14,'[1]Cost Analysis'!$C:$FO,83,FALSE)</f>
        <v>0</v>
      </c>
      <c r="AW14" s="7" t="str">
        <f>IF(VLOOKUP($B14,'[1]Cost Analysis'!$C:$FO,86,FALSE)=0,"",VLOOKUP($B14,'[1]Cost Analysis'!$C:$FO,86,FALSE))</f>
        <v/>
      </c>
      <c r="AX14" s="7" t="str">
        <f>IF(VLOOKUP($B14,'[1]Cost Analysis'!$C:$FO,87,FALSE)=0,"",VLOOKUP($B14,'[1]Cost Analysis'!$C:$FO,87,FALSE))</f>
        <v/>
      </c>
      <c r="AY14" s="7" t="str">
        <f>IF(VLOOKUP($B14,'[1]Cost Analysis'!$C:$FO,88,FALSE)=0,"",VLOOKUP($B14,'[1]Cost Analysis'!$C:$FO,88,FALSE))</f>
        <v/>
      </c>
      <c r="AZ14" s="7" t="str">
        <f>IF(VLOOKUP($B14,'[1]Cost Analysis'!$C:$FO,89,FALSE)=0,"",VLOOKUP($B14,'[1]Cost Analysis'!$C:$FO,89,FALSE))</f>
        <v/>
      </c>
      <c r="BA14" s="7" t="str">
        <f>IF(VLOOKUP($B14,'[1]Cost Analysis'!$C:$FO,90,FALSE)=0,"",VLOOKUP($B14,'[1]Cost Analysis'!$C:$FO,90,FALSE))</f>
        <v/>
      </c>
      <c r="BB14" s="7" t="str">
        <f>IF(VLOOKUP($B14,'[1]Cost Analysis'!$C:$FO,91,FALSE)=0,"",VLOOKUP($B14,'[1]Cost Analysis'!$C:$FO,91,FALSE))</f>
        <v/>
      </c>
      <c r="BC14" s="7" t="str">
        <f>IF(VLOOKUP($B14,'[1]Cost Analysis'!$C:$FO,92,FALSE)=0,"",VLOOKUP($B14,'[1]Cost Analysis'!$C:$FO,92,FALSE))</f>
        <v/>
      </c>
      <c r="BD14" s="7" t="str">
        <f>IF(VLOOKUP($B14,'[1]Cost Analysis'!$C:$FO,93,FALSE)=0,"",VLOOKUP($B14,'[1]Cost Analysis'!$C:$FO,93,FALSE))</f>
        <v/>
      </c>
      <c r="BE14" s="7" t="str">
        <f>IF(VLOOKUP($B14,'[1]Cost Analysis'!$C:$FO,94,FALSE)=0,"",VLOOKUP($B14,'[1]Cost Analysis'!$C:$FO,94,FALSE))</f>
        <v/>
      </c>
      <c r="BF14" s="7" t="str">
        <f>IF(VLOOKUP($B14,'[1]Cost Analysis'!$C:$FO,95,FALSE)=0,"",VLOOKUP($B14,'[1]Cost Analysis'!$C:$FO,95,FALSE))</f>
        <v/>
      </c>
      <c r="BG14" s="7" t="str">
        <f>IF(VLOOKUP($B14,'[1]Cost Analysis'!$C:$FO,96,FALSE)=0,"",VLOOKUP($B14,'[1]Cost Analysis'!$C:$FO,96,FALSE))</f>
        <v/>
      </c>
      <c r="BH14" s="7" t="str">
        <f>IF(VLOOKUP($B14,'[1]Cost Analysis'!$C:$FO,97,FALSE)=0,"",VLOOKUP($B14,'[1]Cost Analysis'!$C:$FO,97,FALSE))</f>
        <v/>
      </c>
      <c r="BI14" s="7" t="str">
        <f>IF(VLOOKUP($B14,'[1]Cost Analysis'!$C:$FO,98,FALSE)=0,"",VLOOKUP($B14,'[1]Cost Analysis'!$C:$FO,98,FALSE))</f>
        <v/>
      </c>
      <c r="BJ14" s="7" t="str">
        <f>IF(VLOOKUP($B14,'[1]Cost Analysis'!$C:$FO,99,FALSE)=0,"",VLOOKUP($B14,'[1]Cost Analysis'!$C:$FO,99,FALSE))</f>
        <v/>
      </c>
      <c r="BK14" s="7" t="str">
        <f>IF(VLOOKUP($B14,'[1]Cost Analysis'!$C:$FO,100,FALSE)=0,"",VLOOKUP($B14,'[1]Cost Analysis'!$C:$FO,100,FALSE))</f>
        <v/>
      </c>
      <c r="BL14" s="7" t="str">
        <f>IF(VLOOKUP($B14,'[1]Cost Analysis'!$C:$FO,101,FALSE)=0,"",VLOOKUP($B14,'[1]Cost Analysis'!$C:$FO,101,FALSE))</f>
        <v/>
      </c>
      <c r="BM14" s="7" t="str">
        <f>IF(VLOOKUP($B14,'[1]Cost Analysis'!$C:$FO,102,FALSE)=0,"",VLOOKUP($B14,'[1]Cost Analysis'!$C:$FO,102,FALSE))</f>
        <v/>
      </c>
      <c r="BN14" s="7" t="str">
        <f>IF(VLOOKUP($B14,'[1]Cost Analysis'!$C:$FO,103,FALSE)=0,"",VLOOKUP($B14,'[1]Cost Analysis'!$C:$FO,103,FALSE))</f>
        <v/>
      </c>
      <c r="BO14" s="7" t="str">
        <f>IF(VLOOKUP($B14,'[1]Cost Analysis'!$C:$FO,104,FALSE)=0,"",VLOOKUP($B14,'[1]Cost Analysis'!$C:$FO,104,FALSE))</f>
        <v/>
      </c>
      <c r="BP14" s="7" t="str">
        <f>IF(VLOOKUP($B14,'[1]Cost Analysis'!$C:$FO,105,FALSE)=0,"",VLOOKUP($B14,'[1]Cost Analysis'!$C:$FO,105,FALSE))</f>
        <v/>
      </c>
      <c r="BQ14" s="7" t="str">
        <f>IF(VLOOKUP($B14,'[1]Cost Analysis'!$C:$FO,106,FALSE)=0,"",VLOOKUP($B14,'[1]Cost Analysis'!$C:$FO,106,FALSE))</f>
        <v/>
      </c>
      <c r="BR14" s="7" t="str">
        <f>IF(VLOOKUP($B14,'[1]Cost Analysis'!$C:$FO,107,FALSE)=0,"",VLOOKUP($B14,'[1]Cost Analysis'!$C:$FO,107,FALSE))</f>
        <v/>
      </c>
      <c r="BS14" s="7" t="str">
        <f>IF(VLOOKUP($B14,'[1]Cost Analysis'!$C:$FO,108,FALSE)=0,"",VLOOKUP($B14,'[1]Cost Analysis'!$C:$FO,108,FALSE))</f>
        <v/>
      </c>
      <c r="BT14" s="7" t="str">
        <f>IF(VLOOKUP($B14,'[1]Cost Analysis'!$C:$FO,109,FALSE)=0,"",VLOOKUP($B14,'[1]Cost Analysis'!$C:$FO,109,FALSE))</f>
        <v/>
      </c>
      <c r="BU14" s="7" t="str">
        <f>IF(VLOOKUP($B14,'[1]Cost Analysis'!$C:$FO,110,FALSE)=0,"",VLOOKUP($B14,'[1]Cost Analysis'!$C:$FO,110,FALSE))</f>
        <v/>
      </c>
      <c r="BV14" s="7" t="str">
        <f>IF(VLOOKUP($B14,'[1]Cost Analysis'!$C:$FO,111,FALSE)=0,"",VLOOKUP($B14,'[1]Cost Analysis'!$C:$FO,111,FALSE))</f>
        <v/>
      </c>
      <c r="BW14" s="7" t="str">
        <f>IF(VLOOKUP($B14,'[1]Cost Analysis'!$C:$FO,112,FALSE)=0,"",VLOOKUP($B14,'[1]Cost Analysis'!$C:$FO,112,FALSE))</f>
        <v/>
      </c>
      <c r="BX14" s="7" t="str">
        <f>IF(VLOOKUP($B14,'[1]Cost Analysis'!$C:$FO,125,FALSE)=0,"",VLOOKUP($B14,'[1]Cost Analysis'!$C:$FO,125,FALSE))</f>
        <v/>
      </c>
      <c r="BY14" s="7" t="str">
        <f>IF(VLOOKUP($B14,'[1]Cost Analysis'!$C:$FO,126,FALSE)=0,"",VLOOKUP($B14,'[1]Cost Analysis'!$C:$FO,126,FALSE))</f>
        <v/>
      </c>
      <c r="BZ14" s="7" t="str">
        <f>IF(VLOOKUP($B14,'[1]Cost Analysis'!$C:$FO,127,FALSE)=0,"",VLOOKUP($B14,'[1]Cost Analysis'!$C:$FO,127,FALSE))</f>
        <v/>
      </c>
      <c r="CA14" s="7" t="str">
        <f>IF(VLOOKUP($B14,'[1]Cost Analysis'!$C:$FO,128,FALSE)=0,"",VLOOKUP($B14,'[1]Cost Analysis'!$C:$FO,128,FALSE))</f>
        <v/>
      </c>
      <c r="CB14" s="7" t="str">
        <f>IF(VLOOKUP($B14,'[1]Cost Analysis'!$C:$FO,129,FALSE)=0,"",VLOOKUP($B14,'[1]Cost Analysis'!$C:$FO,129,FALSE))</f>
        <v/>
      </c>
      <c r="CC14" s="7" t="str">
        <f>IF(VLOOKUP($B14,'[1]Cost Analysis'!$C:$FO,130,FALSE)=0,"",VLOOKUP($B14,'[1]Cost Analysis'!$C:$FO,130,FALSE))</f>
        <v/>
      </c>
      <c r="CD14" s="7" t="str">
        <f>IF(VLOOKUP($B14,'[1]Cost Analysis'!$C:$FO,131,FALSE)=0,"",VLOOKUP($B14,'[1]Cost Analysis'!$C:$FO,131,FALSE))</f>
        <v/>
      </c>
      <c r="CE14" s="7" t="str">
        <f>IF(VLOOKUP($B14,'[1]Cost Analysis'!$C:$FO,132,FALSE)=0,"",VLOOKUP($B14,'[1]Cost Analysis'!$C:$FO,132,FALSE))</f>
        <v/>
      </c>
      <c r="CF14" s="7" t="str">
        <f>IF(VLOOKUP($B14,'[1]Cost Analysis'!$C:$FO,133,FALSE)=0,"",VLOOKUP($B14,'[1]Cost Analysis'!$C:$FO,133,FALSE))</f>
        <v/>
      </c>
      <c r="CG14" s="7" t="str">
        <f>IF(VLOOKUP($B14,'[1]Cost Analysis'!$C:$FO,134,FALSE)=0,"",VLOOKUP($B14,'[1]Cost Analysis'!$C:$FO,134,FALSE))</f>
        <v/>
      </c>
      <c r="CH14" s="7" t="str">
        <f>IF(VLOOKUP($B14,'[1]Cost Analysis'!$C:$FO,135,FALSE)=0,"",VLOOKUP($B14,'[1]Cost Analysis'!$C:$FO,135,FALSE))</f>
        <v/>
      </c>
      <c r="CI14" s="7" t="str">
        <f>IF(VLOOKUP($B14,'[1]Cost Analysis'!$C:$FO,136,FALSE)=0,"",VLOOKUP($B14,'[1]Cost Analysis'!$C:$FO,136,FALSE))</f>
        <v/>
      </c>
      <c r="CJ14" s="7" t="str">
        <f>IF(VLOOKUP($B14,'[1]Cost Analysis'!$C:$FO,137,FALSE)=0,"",VLOOKUP($B14,'[1]Cost Analysis'!$C:$FO,137,FALSE))</f>
        <v/>
      </c>
      <c r="CK14" s="7" t="str">
        <f>IF(VLOOKUP($B14,'[1]Cost Analysis'!$C:$FO,138,FALSE)=0,"",VLOOKUP($B14,'[1]Cost Analysis'!$C:$FO,138,FALSE))</f>
        <v/>
      </c>
      <c r="CL14" s="7" t="str">
        <f>IF(VLOOKUP($B14,'[1]Cost Analysis'!$C:$FO,139,FALSE)=0,"",VLOOKUP($B14,'[1]Cost Analysis'!$C:$FO,139,FALSE))</f>
        <v/>
      </c>
    </row>
    <row r="15" spans="1:90" ht="30" x14ac:dyDescent="0.25">
      <c r="A15" s="13" t="s">
        <v>31</v>
      </c>
      <c r="B15" s="13" t="s">
        <v>45</v>
      </c>
      <c r="C15" s="19" t="str">
        <f>VLOOKUP($B15,'[1]Cost Analysis'!$C:$FO,7,FALSE)</f>
        <v>Milestone 1</v>
      </c>
      <c r="D15" s="19" t="str">
        <f>VLOOKUP($B15,'[1]Cost Analysis'!$C:$FO,8,FALSE)</f>
        <v>Early Design</v>
      </c>
      <c r="E15" s="18">
        <f>IF(ISERROR(VLOOKUP($B15,'[1]Cost Analysis'!$C:$FO,9,FALSE)),"",VLOOKUP($B15,'[1]Cost Analysis'!$C:$FO,9,FALSE))</f>
        <v>14155205.931034483</v>
      </c>
      <c r="F15" s="17">
        <f>IF(ISERROR(VLOOKUP($B15,'[1]Cost Analysis'!$C:$FO,10,FALSE)),"",VLOOKUP($B15,'[1]Cost Analysis'!$C:$FO,10,FALSE))</f>
        <v>231.21109945827453</v>
      </c>
      <c r="G15" s="9">
        <f>IF(ISERROR(VLOOKUP($B15,'[1]Cost Analysis'!$C:$FO,12,FALSE)),"",VLOOKUP($B15,'[1]Cost Analysis'!$C:$FO,12,FALSE))</f>
        <v>0</v>
      </c>
      <c r="H15" s="17">
        <f>IF(ISERROR(VLOOKUP($B15,'[1]Cost Analysis'!$C:$FO,13,FALSE)),"",VLOOKUP($B15,'[1]Cost Analysis'!$C:$FO,13,FALSE))</f>
        <v>19.54531852985011</v>
      </c>
      <c r="I15" s="16">
        <f>IF(ISERROR(VLOOKUP($B15,'[1]Cost Analysis'!$C:$FO,14,FALSE)),"",VLOOKUP($B15,'[1]Cost Analysis'!$C:$FO,14,FALSE))</f>
        <v>8.453451661985352E-2</v>
      </c>
      <c r="J15" s="18">
        <f>IF(ISERROR(VLOOKUP($B15,'[1]Cost Analysis'!$C:$FO,15,FALSE)),"",VLOOKUP($B15,'[1]Cost Analysis'!$C:$FO,15,FALSE))</f>
        <v>1846121</v>
      </c>
      <c r="K15" s="16">
        <f>IF(ISERROR(VLOOKUP($B15,'[1]Cost Analysis'!$C:$FO,16,FALSE)),"",VLOOKUP($B15,'[1]Cost Analysis'!$C:$FO,16,FALSE))</f>
        <v>0.13041993235523935</v>
      </c>
      <c r="L15" s="17">
        <f>IF(ISERROR(VLOOKUP($B15,'[1]Cost Analysis'!$C:$FO,17,FALSE)),"",VLOOKUP($B15,'[1]Cost Analysis'!$C:$FO,17,FALSE))</f>
        <v>-649517.50896551646</v>
      </c>
      <c r="M15" s="17">
        <f>IF(ISERROR(VLOOKUP($B15,'[1]Cost Analysis'!$C:$FO,18,FALSE)),"",VLOOKUP($B15,'[1]Cost Analysis'!$C:$FO,18,FALSE))</f>
        <v>-12.200391678725353</v>
      </c>
      <c r="N15" s="16">
        <f>IF(ISERROR(VLOOKUP($B15,'[1]Cost Analysis'!$C:$FO,19,FALSE)),"",VLOOKUP($B15,'[1]Cost Analysis'!$C:$FO,19,FALSE))</f>
        <v>-5.2767326946287434E-2</v>
      </c>
      <c r="O15" s="11">
        <f>IF(ISERROR(VLOOKUP($B15,'[1]Cost Analysis'!$C:$FO,36,FALSE)),"",VLOOKUP($B15,'[1]Cost Analysis'!$C:$FO,36,FALSE))</f>
        <v>1547601</v>
      </c>
      <c r="P15" s="13" t="str">
        <f>IF(ISERROR(VLOOKUP($B15,'[1]Cost Analysis'!$C:$FO,37,FALSE)),"",VLOOKUP($B15,'[1]Cost Analysis'!$C:$FO,37,FALSE))</f>
        <v>Onsite Solar electric (PV) Owned</v>
      </c>
      <c r="Q15" s="11">
        <f>VLOOKUP($B15,'[1]Cost Analysis'!$C:$FO,39,FALSE)</f>
        <v>61222</v>
      </c>
      <c r="R15" s="11">
        <f>VLOOKUP($B15,'[1]Cost Analysis'!$C:$FO,40,FALSE)</f>
        <v>61222</v>
      </c>
      <c r="S15" s="13">
        <f>VLOOKUP($B15,'[1]Cost Analysis'!$C:$FO,41,FALSE)</f>
        <v>4</v>
      </c>
      <c r="T15" s="13">
        <f>VLOOKUP($B15,'[1]Cost Analysis'!$C:$FO,42,FALSE)</f>
        <v>3</v>
      </c>
      <c r="U15" s="13">
        <f>VLOOKUP($B15,'[1]Cost Analysis'!$C:$FO,43,FALSE)</f>
        <v>87</v>
      </c>
      <c r="V15" s="13" t="str">
        <f>VLOOKUP($B15,'[1]Cost Analysis'!$C:$FO,44,FALSE)</f>
        <v>ERI</v>
      </c>
      <c r="W15" s="13" t="str">
        <f>VLOOKUP($B15,'[1]Cost Analysis'!$C:$FO,45,FALSE)</f>
        <v>Central NY</v>
      </c>
      <c r="X15" s="15" t="str">
        <f>VLOOKUP($B15,'[1]Cost Analysis'!$C:$FO,46,FALSE)</f>
        <v>All Electric</v>
      </c>
      <c r="Y15" s="14" t="str">
        <f>VLOOKUP($B15,'[1]Cost Analysis'!$C:$FO,47,FALSE)</f>
        <v>LMI</v>
      </c>
      <c r="Z15" s="13" t="str">
        <f>VLOOKUP($B15,'[1]Cost Analysis'!$C:$FO,48,FALSE)</f>
        <v>Yes</v>
      </c>
      <c r="AA15" s="13" t="str">
        <f>VLOOKUP($B15,'[1]Cost Analysis'!$C:$FO,49,FALSE)</f>
        <v>Panelized</v>
      </c>
      <c r="AB15" s="13" t="str">
        <f>VLOOKUP($B15,'[1]Cost Analysis'!$C:$FO,50,FALSE)</f>
        <v>Minisplit - ASHP</v>
      </c>
      <c r="AC15" s="13" t="str">
        <f>VLOOKUP($B15,'[1]Cost Analysis'!$C:$FO,51,FALSE)</f>
        <v>ERV</v>
      </c>
      <c r="AD15" s="13" t="str">
        <f>VLOOKUP($B15,'[1]Cost Analysis'!$C:$FO,52,FALSE)</f>
        <v>ASHP</v>
      </c>
      <c r="AE15" s="13" t="str">
        <f>VLOOKUP($B15,'[1]Cost Analysis'!$C:$FO,53,FALSE)</f>
        <v>Yes</v>
      </c>
      <c r="AF15" s="13" t="str">
        <f>VLOOKUP($B15,'[1]Cost Analysis'!$C:$FO,54,FALSE)</f>
        <v>Low Rise</v>
      </c>
      <c r="AG15" s="13" t="str">
        <f>IF(VLOOKUP($B15,'[1]Cost Analysis'!$C:$FO,55,FALSE)="PV","Yes","No")</f>
        <v>Yes</v>
      </c>
      <c r="AH15" s="13" t="str">
        <f>VLOOKUP($B15,'[1]Cost Analysis'!$C:$FO,57,FALSE)</f>
        <v>No</v>
      </c>
      <c r="AI15" s="13" t="str">
        <f>VLOOKUP($B15,'[1]Cost Analysis'!$C:$FO,58,FALSE)</f>
        <v>No</v>
      </c>
      <c r="AJ15" s="13" t="str">
        <f>VLOOKUP($B15,'[1]Cost Analysis'!$C:$FO,59,FALSE)</f>
        <v>No</v>
      </c>
      <c r="AK15" s="13">
        <f>VLOOKUP($B15,'[1]Cost Analysis'!$C:$FO,60,FALSE)</f>
        <v>5</v>
      </c>
      <c r="AL15" s="13" t="str">
        <f>VLOOKUP($B15,'[1]Cost Analysis'!$C:$FO,61,FALSE)</f>
        <v>No</v>
      </c>
      <c r="AM15" s="13" t="str">
        <f>VLOOKUP($B15,'[1]Cost Analysis'!$C:$FO,62,FALSE)</f>
        <v>NC</v>
      </c>
      <c r="AN15" s="12" t="str">
        <f>VLOOKUP($B15,'[1]Cost Analysis'!$C:$FO,63,FALSE)</f>
        <v>2019 ECCC of NYS</v>
      </c>
      <c r="AO15" s="12" t="str">
        <f>VLOOKUP($B15,'[1]Cost Analysis'!$C:$FO,67,FALSE)</f>
        <v>No</v>
      </c>
      <c r="AP15" s="12" t="str">
        <f>VLOOKUP($B15,'[1]Cost Analysis'!$C:$FO,69,FALSE)</f>
        <v>No</v>
      </c>
      <c r="AQ15" s="11">
        <f>VLOOKUP($B15,'[1]Cost Analysis'!$C:$FO,74,FALSE)</f>
        <v>1590641</v>
      </c>
      <c r="AR15" s="11">
        <f>VLOOKUP($B15,'[1]Cost Analysis'!$C:$FO,75,FALSE)</f>
        <v>43040</v>
      </c>
      <c r="AS15" s="10">
        <f>IF(ISERROR(VLOOKUP($B15,'[1]Cost Analysis'!$C:$FO,76,FALSE)),"",VLOOKUP($B15,'[1]Cost Analysis'!$C:$FO,76,FALSE))</f>
        <v>0.97294172600857143</v>
      </c>
      <c r="AT15" s="9">
        <f>VLOOKUP($B15,'[1]Cost Analysis'!$C:$FO,78,FALSE)</f>
        <v>5748</v>
      </c>
      <c r="AU15" s="9">
        <f>VLOOKUP($B15,'[1]Cost Analysis'!$C:$FO,82,FALSE)</f>
        <v>9.3887818104602921E-2</v>
      </c>
      <c r="AV15" s="8">
        <f>VLOOKUP($B15,'[1]Cost Analysis'!$C:$FO,83,FALSE)</f>
        <v>0.70301525595374215</v>
      </c>
      <c r="AW15" s="7">
        <f>IF(VLOOKUP($B15,'[1]Cost Analysis'!$C:$FO,86,FALSE)=0,"",VLOOKUP($B15,'[1]Cost Analysis'!$C:$FO,86,FALSE))</f>
        <v>520783</v>
      </c>
      <c r="AX15" s="7">
        <f>IF(VLOOKUP($B15,'[1]Cost Analysis'!$C:$FO,87,FALSE)=0,"",VLOOKUP($B15,'[1]Cost Analysis'!$C:$FO,87,FALSE))</f>
        <v>823994</v>
      </c>
      <c r="AY15" s="7">
        <f>IF(VLOOKUP($B15,'[1]Cost Analysis'!$C:$FO,88,FALSE)=0,"",VLOOKUP($B15,'[1]Cost Analysis'!$C:$FO,88,FALSE))</f>
        <v>73950</v>
      </c>
      <c r="AZ15" s="7">
        <f>IF(VLOOKUP($B15,'[1]Cost Analysis'!$C:$FO,89,FALSE)=0,"",VLOOKUP($B15,'[1]Cost Analysis'!$C:$FO,89,FALSE))</f>
        <v>410325</v>
      </c>
      <c r="BA15" s="7">
        <f>IF(VLOOKUP($B15,'[1]Cost Analysis'!$C:$FO,90,FALSE)=0,"",VLOOKUP($B15,'[1]Cost Analysis'!$C:$FO,90,FALSE))</f>
        <v>571158</v>
      </c>
      <c r="BB15" s="7">
        <f>IF(VLOOKUP($B15,'[1]Cost Analysis'!$C:$FO,91,FALSE)=0,"",VLOOKUP($B15,'[1]Cost Analysis'!$C:$FO,91,FALSE))</f>
        <v>41511</v>
      </c>
      <c r="BC15" s="7" t="str">
        <f>IF(VLOOKUP($B15,'[1]Cost Analysis'!$C:$FO,92,FALSE)=0,"",VLOOKUP($B15,'[1]Cost Analysis'!$C:$FO,92,FALSE))</f>
        <v/>
      </c>
      <c r="BD15" s="7" t="str">
        <f>IF(VLOOKUP($B15,'[1]Cost Analysis'!$C:$FO,93,FALSE)=0,"",VLOOKUP($B15,'[1]Cost Analysis'!$C:$FO,93,FALSE))</f>
        <v/>
      </c>
      <c r="BE15" s="7">
        <f>IF(VLOOKUP($B15,'[1]Cost Analysis'!$C:$FO,94,FALSE)=0,"",VLOOKUP($B15,'[1]Cost Analysis'!$C:$FO,94,FALSE))</f>
        <v>64637.931034482703</v>
      </c>
      <c r="BF15" s="7">
        <f>IF(VLOOKUP($B15,'[1]Cost Analysis'!$C:$FO,95,FALSE)=0,"",VLOOKUP($B15,'[1]Cost Analysis'!$C:$FO,95,FALSE))</f>
        <v>11648847</v>
      </c>
      <c r="BG15" s="7">
        <f>IF(VLOOKUP($B15,'[1]Cost Analysis'!$C:$FO,96,FALSE)=0,"",VLOOKUP($B15,'[1]Cost Analysis'!$C:$FO,96,FALSE))</f>
        <v>14155205.931034483</v>
      </c>
      <c r="BH15" s="7">
        <f>IF(VLOOKUP($B15,'[1]Cost Analysis'!$C:$FO,97,FALSE)=0,"",VLOOKUP($B15,'[1]Cost Analysis'!$C:$FO,97,FALSE))</f>
        <v>-300000</v>
      </c>
      <c r="BI15" s="7">
        <f>IF(VLOOKUP($B15,'[1]Cost Analysis'!$C:$FO,98,FALSE)=0,"",VLOOKUP($B15,'[1]Cost Analysis'!$C:$FO,98,FALSE))</f>
        <v>-459000</v>
      </c>
      <c r="BJ15" s="7" t="str">
        <f>IF(VLOOKUP($B15,'[1]Cost Analysis'!$C:$FO,99,FALSE)=0,"",VLOOKUP($B15,'[1]Cost Analysis'!$C:$FO,99,FALSE))</f>
        <v/>
      </c>
      <c r="BK15" s="7" t="str">
        <f>IF(VLOOKUP($B15,'[1]Cost Analysis'!$C:$FO,100,FALSE)=0,"",VLOOKUP($B15,'[1]Cost Analysis'!$C:$FO,100,FALSE))</f>
        <v/>
      </c>
      <c r="BL15" s="7" t="str">
        <f>IF(VLOOKUP($B15,'[1]Cost Analysis'!$C:$FO,101,FALSE)=0,"",VLOOKUP($B15,'[1]Cost Analysis'!$C:$FO,101,FALSE))</f>
        <v/>
      </c>
      <c r="BM15" s="7">
        <f>IF(VLOOKUP($B15,'[1]Cost Analysis'!$C:$FO,102,FALSE)=0,"",VLOOKUP($B15,'[1]Cost Analysis'!$C:$FO,102,FALSE))</f>
        <v>-60000</v>
      </c>
      <c r="BN15" s="7">
        <f>IF(VLOOKUP($B15,'[1]Cost Analysis'!$C:$FO,103,FALSE)=0,"",VLOOKUP($B15,'[1]Cost Analysis'!$C:$FO,103,FALSE))</f>
        <v>-159000</v>
      </c>
      <c r="BO15" s="7">
        <f>IF(VLOOKUP($B15,'[1]Cost Analysis'!$C:$FO,104,FALSE)=0,"",VLOOKUP($B15,'[1]Cost Analysis'!$C:$FO,104,FALSE))</f>
        <v>-978000</v>
      </c>
      <c r="BP15" s="7">
        <f>IF(VLOOKUP($B15,'[1]Cost Analysis'!$C:$FO,105,FALSE)=0,"",VLOOKUP($B15,'[1]Cost Analysis'!$C:$FO,105,FALSE))</f>
        <v>-727236</v>
      </c>
      <c r="BQ15" s="7" t="str">
        <f>IF(VLOOKUP($B15,'[1]Cost Analysis'!$C:$FO,106,FALSE)=0,"",VLOOKUP($B15,'[1]Cost Analysis'!$C:$FO,106,FALSE))</f>
        <v/>
      </c>
      <c r="BR15" s="7" t="str">
        <f>IF(VLOOKUP($B15,'[1]Cost Analysis'!$C:$FO,107,FALSE)=0,"",VLOOKUP($B15,'[1]Cost Analysis'!$C:$FO,107,FALSE))</f>
        <v/>
      </c>
      <c r="BS15" s="7" t="str">
        <f>IF(VLOOKUP($B15,'[1]Cost Analysis'!$C:$FO,108,FALSE)=0,"",VLOOKUP($B15,'[1]Cost Analysis'!$C:$FO,108,FALSE))</f>
        <v/>
      </c>
      <c r="BT15" s="7" t="str">
        <f>IF(VLOOKUP($B15,'[1]Cost Analysis'!$C:$FO,109,FALSE)=0,"",VLOOKUP($B15,'[1]Cost Analysis'!$C:$FO,109,FALSE))</f>
        <v/>
      </c>
      <c r="BU15" s="7">
        <f>IF(VLOOKUP($B15,'[1]Cost Analysis'!$C:$FO,110,FALSE)=0,"",VLOOKUP($B15,'[1]Cost Analysis'!$C:$FO,110,FALSE))</f>
        <v>-140885</v>
      </c>
      <c r="BV15" s="7">
        <f>IF(VLOOKUP($B15,'[1]Cost Analysis'!$C:$FO,111,FALSE)=0,"",VLOOKUP($B15,'[1]Cost Analysis'!$C:$FO,111,FALSE))</f>
        <v>-140885</v>
      </c>
      <c r="BW15" s="7">
        <f>IF(VLOOKUP($B15,'[1]Cost Analysis'!$C:$FO,112,FALSE)=0,"",VLOOKUP($B15,'[1]Cost Analysis'!$C:$FO,112,FALSE))</f>
        <v>12309084.931034483</v>
      </c>
      <c r="BX15" s="7">
        <f>IF(VLOOKUP($B15,'[1]Cost Analysis'!$C:$FO,125,FALSE)=0,"",VLOOKUP($B15,'[1]Cost Analysis'!$C:$FO,125,FALSE))</f>
        <v>244875</v>
      </c>
      <c r="BY15" s="7">
        <f>IF(VLOOKUP($B15,'[1]Cost Analysis'!$C:$FO,126,FALSE)=0,"",VLOOKUP($B15,'[1]Cost Analysis'!$C:$FO,126,FALSE))</f>
        <v>702436.94</v>
      </c>
      <c r="BZ15" s="7">
        <f>IF(VLOOKUP($B15,'[1]Cost Analysis'!$C:$FO,127,FALSE)=0,"",VLOOKUP($B15,'[1]Cost Analysis'!$C:$FO,127,FALSE))</f>
        <v>15570</v>
      </c>
      <c r="CA15" s="7">
        <f>IF(VLOOKUP($B15,'[1]Cost Analysis'!$C:$FO,128,FALSE)=0,"",VLOOKUP($B15,'[1]Cost Analysis'!$C:$FO,128,FALSE))</f>
        <v>305362.5</v>
      </c>
      <c r="CB15" s="7" t="str">
        <f>IF(VLOOKUP($B15,'[1]Cost Analysis'!$C:$FO,129,FALSE)=0,"",VLOOKUP($B15,'[1]Cost Analysis'!$C:$FO,129,FALSE))</f>
        <v/>
      </c>
      <c r="CC15" s="7">
        <f>IF(VLOOKUP($B15,'[1]Cost Analysis'!$C:$FO,130,FALSE)=0,"",VLOOKUP($B15,'[1]Cost Analysis'!$C:$FO,130,FALSE))</f>
        <v>41511</v>
      </c>
      <c r="CD15" s="7" t="str">
        <f>IF(VLOOKUP($B15,'[1]Cost Analysis'!$C:$FO,131,FALSE)=0,"",VLOOKUP($B15,'[1]Cost Analysis'!$C:$FO,131,FALSE))</f>
        <v/>
      </c>
      <c r="CE15" s="7" t="str">
        <f>IF(VLOOKUP($B15,'[1]Cost Analysis'!$C:$FO,132,FALSE)=0,"",VLOOKUP($B15,'[1]Cost Analysis'!$C:$FO,132,FALSE))</f>
        <v/>
      </c>
      <c r="CF15" s="7" t="str">
        <f>IF(VLOOKUP($B15,'[1]Cost Analysis'!$C:$FO,133,FALSE)=0,"",VLOOKUP($B15,'[1]Cost Analysis'!$C:$FO,133,FALSE))</f>
        <v/>
      </c>
      <c r="CG15" s="7">
        <f>IF(VLOOKUP($B15,'[1]Cost Analysis'!$C:$FO,134,FALSE)=0,"",VLOOKUP($B15,'[1]Cost Analysis'!$C:$FO,134,FALSE))</f>
        <v>11648847</v>
      </c>
      <c r="CH15" s="7">
        <f>IF(VLOOKUP($B15,'[1]Cost Analysis'!$C:$FO,135,FALSE)=0,"",VLOOKUP($B15,'[1]Cost Analysis'!$C:$FO,135,FALSE))</f>
        <v>12958602.439999999</v>
      </c>
      <c r="CI15" s="7" t="str">
        <f>IF(VLOOKUP($B15,'[1]Cost Analysis'!$C:$FO,136,FALSE)=0,"",VLOOKUP($B15,'[1]Cost Analysis'!$C:$FO,136,FALSE))</f>
        <v/>
      </c>
      <c r="CJ15" s="7" t="str">
        <f>IF(VLOOKUP($B15,'[1]Cost Analysis'!$C:$FO,137,FALSE)=0,"",VLOOKUP($B15,'[1]Cost Analysis'!$C:$FO,137,FALSE))</f>
        <v/>
      </c>
      <c r="CK15" s="7" t="str">
        <f>IF(VLOOKUP($B15,'[1]Cost Analysis'!$C:$FO,138,FALSE)=0,"",VLOOKUP($B15,'[1]Cost Analysis'!$C:$FO,138,FALSE))</f>
        <v/>
      </c>
      <c r="CL15" s="7">
        <f>IF(VLOOKUP($B15,'[1]Cost Analysis'!$C:$FO,139,FALSE)=0,"",VLOOKUP($B15,'[1]Cost Analysis'!$C:$FO,139,FALSE))</f>
        <v>12958602.439999999</v>
      </c>
    </row>
    <row r="16" spans="1:90" ht="30" x14ac:dyDescent="0.25">
      <c r="A16" s="13" t="s">
        <v>31</v>
      </c>
      <c r="B16" s="13" t="s">
        <v>44</v>
      </c>
      <c r="C16" s="19" t="str">
        <f>VLOOKUP($B16,'[1]Cost Analysis'!$C:$FO,7,FALSE)</f>
        <v>Proposal</v>
      </c>
      <c r="D16" s="19" t="str">
        <f>VLOOKUP($B16,'[1]Cost Analysis'!$C:$FO,8,FALSE)</f>
        <v>Late Design</v>
      </c>
      <c r="E16" s="18">
        <f>IF(ISERROR(VLOOKUP($B16,'[1]Cost Analysis'!$C:$FO,9,FALSE)),"",VLOOKUP($B16,'[1]Cost Analysis'!$C:$FO,9,FALSE))</f>
        <v>233000000</v>
      </c>
      <c r="F16" s="17">
        <f>IF(ISERROR(VLOOKUP($B16,'[1]Cost Analysis'!$C:$FO,10,FALSE)),"",VLOOKUP($B16,'[1]Cost Analysis'!$C:$FO,10,FALSE))</f>
        <v>655.4978829950345</v>
      </c>
      <c r="G16" s="9">
        <f>IF(ISERROR(VLOOKUP($B16,'[1]Cost Analysis'!$C:$FO,12,FALSE)),"",VLOOKUP($B16,'[1]Cost Analysis'!$C:$FO,12,FALSE))</f>
        <v>18640000</v>
      </c>
      <c r="H16" s="17">
        <f>IF(ISERROR(VLOOKUP($B16,'[1]Cost Analysis'!$C:$FO,13,FALSE)),"",VLOOKUP($B16,'[1]Cost Analysis'!$C:$FO,13,FALSE))</f>
        <v>52.439830639602761</v>
      </c>
      <c r="I16" s="16">
        <f>IF(ISERROR(VLOOKUP($B16,'[1]Cost Analysis'!$C:$FO,14,FALSE)),"",VLOOKUP($B16,'[1]Cost Analysis'!$C:$FO,14,FALSE))</f>
        <v>0.08</v>
      </c>
      <c r="J16" s="18">
        <f>IF(ISERROR(VLOOKUP($B16,'[1]Cost Analysis'!$C:$FO,15,FALSE)),"",VLOOKUP($B16,'[1]Cost Analysis'!$C:$FO,15,FALSE))</f>
        <v>1050000</v>
      </c>
      <c r="K16" s="16">
        <f>IF(ISERROR(VLOOKUP($B16,'[1]Cost Analysis'!$C:$FO,16,FALSE)),"",VLOOKUP($B16,'[1]Cost Analysis'!$C:$FO,16,FALSE))</f>
        <v>4.5064377682403432E-3</v>
      </c>
      <c r="L16" s="17">
        <f>IF(ISERROR(VLOOKUP($B16,'[1]Cost Analysis'!$C:$FO,17,FALSE)),"",VLOOKUP($B16,'[1]Cost Analysis'!$C:$FO,17,FALSE))</f>
        <v>17590000</v>
      </c>
      <c r="M16" s="17">
        <f>IF(ISERROR(VLOOKUP($B16,'[1]Cost Analysis'!$C:$FO,18,FALSE)),"",VLOOKUP($B16,'[1]Cost Analysis'!$C:$FO,18,FALSE))</f>
        <v>49.485870222672347</v>
      </c>
      <c r="N16" s="16">
        <f>IF(ISERROR(VLOOKUP($B16,'[1]Cost Analysis'!$C:$FO,19,FALSE)),"",VLOOKUP($B16,'[1]Cost Analysis'!$C:$FO,19,FALSE))</f>
        <v>7.5493562231759653E-2</v>
      </c>
      <c r="O16" s="11">
        <f>IF(ISERROR(VLOOKUP($B16,'[1]Cost Analysis'!$C:$FO,36,FALSE)),"",VLOOKUP($B16,'[1]Cost Analysis'!$C:$FO,36,FALSE))</f>
        <v>623033</v>
      </c>
      <c r="P16" s="13" t="str">
        <f>IF(ISERROR(VLOOKUP($B16,'[1]Cost Analysis'!$C:$FO,37,FALSE)),"",VLOOKUP($B16,'[1]Cost Analysis'!$C:$FO,37,FALSE))</f>
        <v>Onsite Solar electric (PV) Owned</v>
      </c>
      <c r="Q16" s="11">
        <f>VLOOKUP($B16,'[1]Cost Analysis'!$C:$FO,39,FALSE)</f>
        <v>355455</v>
      </c>
      <c r="R16" s="11">
        <f>VLOOKUP($B16,'[1]Cost Analysis'!$C:$FO,40,FALSE)</f>
        <v>325332</v>
      </c>
      <c r="S16" s="13">
        <f>VLOOKUP($B16,'[1]Cost Analysis'!$C:$FO,41,FALSE)</f>
        <v>1</v>
      </c>
      <c r="T16" s="13">
        <f>VLOOKUP($B16,'[1]Cost Analysis'!$C:$FO,42,FALSE)</f>
        <v>34</v>
      </c>
      <c r="U16" s="13">
        <f>VLOOKUP($B16,'[1]Cost Analysis'!$C:$FO,43,FALSE)</f>
        <v>348</v>
      </c>
      <c r="V16" s="13" t="str">
        <f>VLOOKUP($B16,'[1]Cost Analysis'!$C:$FO,44,FALSE)</f>
        <v>PHI</v>
      </c>
      <c r="W16" s="13" t="str">
        <f>VLOOKUP($B16,'[1]Cost Analysis'!$C:$FO,45,FALSE)</f>
        <v>NYC</v>
      </c>
      <c r="X16" s="15" t="str">
        <f>VLOOKUP($B16,'[1]Cost Analysis'!$C:$FO,46,FALSE)</f>
        <v>Fossil Fuels</v>
      </c>
      <c r="Y16" s="14" t="str">
        <f>VLOOKUP($B16,'[1]Cost Analysis'!$C:$FO,47,FALSE)</f>
        <v>LMI</v>
      </c>
      <c r="Z16" s="13" t="str">
        <f>VLOOKUP($B16,'[1]Cost Analysis'!$C:$FO,48,FALSE)</f>
        <v>Yes</v>
      </c>
      <c r="AA16" s="13" t="str">
        <f>VLOOKUP($B16,'[1]Cost Analysis'!$C:$FO,49,FALSE)</f>
        <v>Block and Plank</v>
      </c>
      <c r="AB16" s="13" t="str">
        <f>VLOOKUP($B16,'[1]Cost Analysis'!$C:$FO,50,FALSE)</f>
        <v>VRF - ASHP</v>
      </c>
      <c r="AC16" s="13" t="str">
        <f>VLOOKUP($B16,'[1]Cost Analysis'!$C:$FO,51,FALSE)</f>
        <v>ERV</v>
      </c>
      <c r="AD16" s="13" t="str">
        <f>VLOOKUP($B16,'[1]Cost Analysis'!$C:$FO,52,FALSE)</f>
        <v>Fossil Fuel</v>
      </c>
      <c r="AE16" s="13" t="str">
        <f>VLOOKUP($B16,'[1]Cost Analysis'!$C:$FO,53,FALSE)</f>
        <v>Yes</v>
      </c>
      <c r="AF16" s="13" t="str">
        <f>VLOOKUP($B16,'[1]Cost Analysis'!$C:$FO,54,FALSE)</f>
        <v>High Rise</v>
      </c>
      <c r="AG16" s="13" t="str">
        <f>IF(VLOOKUP($B16,'[1]Cost Analysis'!$C:$FO,55,FALSE)="PV","Yes","No")</f>
        <v>Yes</v>
      </c>
      <c r="AH16" s="13" t="str">
        <f>VLOOKUP($B16,'[1]Cost Analysis'!$C:$FO,57,FALSE)</f>
        <v>No</v>
      </c>
      <c r="AI16" s="13" t="str">
        <f>VLOOKUP($B16,'[1]Cost Analysis'!$C:$FO,58,FALSE)</f>
        <v>No</v>
      </c>
      <c r="AJ16" s="13" t="str">
        <f>VLOOKUP($B16,'[1]Cost Analysis'!$C:$FO,59,FALSE)</f>
        <v>No</v>
      </c>
      <c r="AK16" s="13">
        <f>VLOOKUP($B16,'[1]Cost Analysis'!$C:$FO,60,FALSE)</f>
        <v>4</v>
      </c>
      <c r="AL16" s="13" t="str">
        <f>VLOOKUP($B16,'[1]Cost Analysis'!$C:$FO,61,FALSE)</f>
        <v>Yes</v>
      </c>
      <c r="AM16" s="13" t="str">
        <f>VLOOKUP($B16,'[1]Cost Analysis'!$C:$FO,62,FALSE)</f>
        <v>NC</v>
      </c>
      <c r="AN16" s="12" t="str">
        <f>VLOOKUP($B16,'[1]Cost Analysis'!$C:$FO,63,FALSE)</f>
        <v>2016 ECCC of NYS</v>
      </c>
      <c r="AO16" s="12" t="str">
        <f>VLOOKUP($B16,'[1]Cost Analysis'!$C:$FO,67,FALSE)</f>
        <v>Yes</v>
      </c>
      <c r="AP16" s="12" t="str">
        <f>VLOOKUP($B16,'[1]Cost Analysis'!$C:$FO,69,FALSE)</f>
        <v>Yes</v>
      </c>
      <c r="AQ16" s="11">
        <f>VLOOKUP($B16,'[1]Cost Analysis'!$C:$FO,74,FALSE)</f>
        <v>10977322</v>
      </c>
      <c r="AR16" s="11">
        <f>VLOOKUP($B16,'[1]Cost Analysis'!$C:$FO,75,FALSE)</f>
        <v>10354289</v>
      </c>
      <c r="AS16" s="10">
        <f>IF(ISERROR(VLOOKUP($B16,'[1]Cost Analysis'!$C:$FO,76,FALSE)),"",VLOOKUP($B16,'[1]Cost Analysis'!$C:$FO,76,FALSE))</f>
        <v>5.675637464219415E-2</v>
      </c>
      <c r="AT16" s="9">
        <f>VLOOKUP($B16,'[1]Cost Analysis'!$C:$FO,78,FALSE)</f>
        <v>180352.11</v>
      </c>
      <c r="AU16" s="9">
        <f>VLOOKUP($B16,'[1]Cost Analysis'!$C:$FO,82,FALSE)</f>
        <v>0.55436326583305662</v>
      </c>
      <c r="AV16" s="8">
        <f>VLOOKUP($B16,'[1]Cost Analysis'!$C:$FO,83,FALSE)</f>
        <v>29.12967604900761</v>
      </c>
      <c r="AW16" s="7" t="str">
        <f>IF(VLOOKUP($B16,'[1]Cost Analysis'!$C:$FO,86,FALSE)=0,"",VLOOKUP($B16,'[1]Cost Analysis'!$C:$FO,86,FALSE))</f>
        <v/>
      </c>
      <c r="AX16" s="7" t="str">
        <f>IF(VLOOKUP($B16,'[1]Cost Analysis'!$C:$FO,87,FALSE)=0,"",VLOOKUP($B16,'[1]Cost Analysis'!$C:$FO,87,FALSE))</f>
        <v/>
      </c>
      <c r="AY16" s="7" t="str">
        <f>IF(VLOOKUP($B16,'[1]Cost Analysis'!$C:$FO,88,FALSE)=0,"",VLOOKUP($B16,'[1]Cost Analysis'!$C:$FO,88,FALSE))</f>
        <v/>
      </c>
      <c r="AZ16" s="7" t="str">
        <f>IF(VLOOKUP($B16,'[1]Cost Analysis'!$C:$FO,89,FALSE)=0,"",VLOOKUP($B16,'[1]Cost Analysis'!$C:$FO,89,FALSE))</f>
        <v/>
      </c>
      <c r="BA16" s="7" t="str">
        <f>IF(VLOOKUP($B16,'[1]Cost Analysis'!$C:$FO,90,FALSE)=0,"",VLOOKUP($B16,'[1]Cost Analysis'!$C:$FO,90,FALSE))</f>
        <v/>
      </c>
      <c r="BB16" s="7" t="str">
        <f>IF(VLOOKUP($B16,'[1]Cost Analysis'!$C:$FO,91,FALSE)=0,"",VLOOKUP($B16,'[1]Cost Analysis'!$C:$FO,91,FALSE))</f>
        <v/>
      </c>
      <c r="BC16" s="7" t="str">
        <f>IF(VLOOKUP($B16,'[1]Cost Analysis'!$C:$FO,92,FALSE)=0,"",VLOOKUP($B16,'[1]Cost Analysis'!$C:$FO,92,FALSE))</f>
        <v/>
      </c>
      <c r="BD16" s="7" t="str">
        <f>IF(VLOOKUP($B16,'[1]Cost Analysis'!$C:$FO,93,FALSE)=0,"",VLOOKUP($B16,'[1]Cost Analysis'!$C:$FO,93,FALSE))</f>
        <v/>
      </c>
      <c r="BE16" s="7" t="str">
        <f>IF(VLOOKUP($B16,'[1]Cost Analysis'!$C:$FO,94,FALSE)=0,"",VLOOKUP($B16,'[1]Cost Analysis'!$C:$FO,94,FALSE))</f>
        <v/>
      </c>
      <c r="BF16" s="7" t="str">
        <f>IF(VLOOKUP($B16,'[1]Cost Analysis'!$C:$FO,95,FALSE)=0,"",VLOOKUP($B16,'[1]Cost Analysis'!$C:$FO,95,FALSE))</f>
        <v/>
      </c>
      <c r="BG16" s="7" t="str">
        <f>IF(VLOOKUP($B16,'[1]Cost Analysis'!$C:$FO,96,FALSE)=0,"",VLOOKUP($B16,'[1]Cost Analysis'!$C:$FO,96,FALSE))</f>
        <v/>
      </c>
      <c r="BH16" s="7" t="str">
        <f>IF(VLOOKUP($B16,'[1]Cost Analysis'!$C:$FO,97,FALSE)=0,"",VLOOKUP($B16,'[1]Cost Analysis'!$C:$FO,97,FALSE))</f>
        <v/>
      </c>
      <c r="BI16" s="7" t="str">
        <f>IF(VLOOKUP($B16,'[1]Cost Analysis'!$C:$FO,98,FALSE)=0,"",VLOOKUP($B16,'[1]Cost Analysis'!$C:$FO,98,FALSE))</f>
        <v/>
      </c>
      <c r="BJ16" s="7" t="str">
        <f>IF(VLOOKUP($B16,'[1]Cost Analysis'!$C:$FO,99,FALSE)=0,"",VLOOKUP($B16,'[1]Cost Analysis'!$C:$FO,99,FALSE))</f>
        <v/>
      </c>
      <c r="BK16" s="7" t="str">
        <f>IF(VLOOKUP($B16,'[1]Cost Analysis'!$C:$FO,100,FALSE)=0,"",VLOOKUP($B16,'[1]Cost Analysis'!$C:$FO,100,FALSE))</f>
        <v/>
      </c>
      <c r="BL16" s="7" t="str">
        <f>IF(VLOOKUP($B16,'[1]Cost Analysis'!$C:$FO,101,FALSE)=0,"",VLOOKUP($B16,'[1]Cost Analysis'!$C:$FO,101,FALSE))</f>
        <v/>
      </c>
      <c r="BM16" s="7" t="str">
        <f>IF(VLOOKUP($B16,'[1]Cost Analysis'!$C:$FO,102,FALSE)=0,"",VLOOKUP($B16,'[1]Cost Analysis'!$C:$FO,102,FALSE))</f>
        <v/>
      </c>
      <c r="BN16" s="7" t="str">
        <f>IF(VLOOKUP($B16,'[1]Cost Analysis'!$C:$FO,103,FALSE)=0,"",VLOOKUP($B16,'[1]Cost Analysis'!$C:$FO,103,FALSE))</f>
        <v/>
      </c>
      <c r="BO16" s="7" t="str">
        <f>IF(VLOOKUP($B16,'[1]Cost Analysis'!$C:$FO,104,FALSE)=0,"",VLOOKUP($B16,'[1]Cost Analysis'!$C:$FO,104,FALSE))</f>
        <v/>
      </c>
      <c r="BP16" s="7" t="str">
        <f>IF(VLOOKUP($B16,'[1]Cost Analysis'!$C:$FO,105,FALSE)=0,"",VLOOKUP($B16,'[1]Cost Analysis'!$C:$FO,105,FALSE))</f>
        <v/>
      </c>
      <c r="BQ16" s="7" t="str">
        <f>IF(VLOOKUP($B16,'[1]Cost Analysis'!$C:$FO,106,FALSE)=0,"",VLOOKUP($B16,'[1]Cost Analysis'!$C:$FO,106,FALSE))</f>
        <v/>
      </c>
      <c r="BR16" s="7" t="str">
        <f>IF(VLOOKUP($B16,'[1]Cost Analysis'!$C:$FO,107,FALSE)=0,"",VLOOKUP($B16,'[1]Cost Analysis'!$C:$FO,107,FALSE))</f>
        <v/>
      </c>
      <c r="BS16" s="7" t="str">
        <f>IF(VLOOKUP($B16,'[1]Cost Analysis'!$C:$FO,108,FALSE)=0,"",VLOOKUP($B16,'[1]Cost Analysis'!$C:$FO,108,FALSE))</f>
        <v/>
      </c>
      <c r="BT16" s="7" t="str">
        <f>IF(VLOOKUP($B16,'[1]Cost Analysis'!$C:$FO,109,FALSE)=0,"",VLOOKUP($B16,'[1]Cost Analysis'!$C:$FO,109,FALSE))</f>
        <v/>
      </c>
      <c r="BU16" s="7" t="str">
        <f>IF(VLOOKUP($B16,'[1]Cost Analysis'!$C:$FO,110,FALSE)=0,"",VLOOKUP($B16,'[1]Cost Analysis'!$C:$FO,110,FALSE))</f>
        <v/>
      </c>
      <c r="BV16" s="7" t="str">
        <f>IF(VLOOKUP($B16,'[1]Cost Analysis'!$C:$FO,111,FALSE)=0,"",VLOOKUP($B16,'[1]Cost Analysis'!$C:$FO,111,FALSE))</f>
        <v/>
      </c>
      <c r="BW16" s="7" t="str">
        <f>IF(VLOOKUP($B16,'[1]Cost Analysis'!$C:$FO,112,FALSE)=0,"",VLOOKUP($B16,'[1]Cost Analysis'!$C:$FO,112,FALSE))</f>
        <v/>
      </c>
      <c r="BX16" s="7" t="str">
        <f>IF(VLOOKUP($B16,'[1]Cost Analysis'!$C:$FO,125,FALSE)=0,"",VLOOKUP($B16,'[1]Cost Analysis'!$C:$FO,125,FALSE))</f>
        <v/>
      </c>
      <c r="BY16" s="7" t="str">
        <f>IF(VLOOKUP($B16,'[1]Cost Analysis'!$C:$FO,126,FALSE)=0,"",VLOOKUP($B16,'[1]Cost Analysis'!$C:$FO,126,FALSE))</f>
        <v/>
      </c>
      <c r="BZ16" s="7" t="str">
        <f>IF(VLOOKUP($B16,'[1]Cost Analysis'!$C:$FO,127,FALSE)=0,"",VLOOKUP($B16,'[1]Cost Analysis'!$C:$FO,127,FALSE))</f>
        <v/>
      </c>
      <c r="CA16" s="7" t="str">
        <f>IF(VLOOKUP($B16,'[1]Cost Analysis'!$C:$FO,128,FALSE)=0,"",VLOOKUP($B16,'[1]Cost Analysis'!$C:$FO,128,FALSE))</f>
        <v/>
      </c>
      <c r="CB16" s="7" t="str">
        <f>IF(VLOOKUP($B16,'[1]Cost Analysis'!$C:$FO,129,FALSE)=0,"",VLOOKUP($B16,'[1]Cost Analysis'!$C:$FO,129,FALSE))</f>
        <v/>
      </c>
      <c r="CC16" s="7" t="str">
        <f>IF(VLOOKUP($B16,'[1]Cost Analysis'!$C:$FO,130,FALSE)=0,"",VLOOKUP($B16,'[1]Cost Analysis'!$C:$FO,130,FALSE))</f>
        <v/>
      </c>
      <c r="CD16" s="7" t="str">
        <f>IF(VLOOKUP($B16,'[1]Cost Analysis'!$C:$FO,131,FALSE)=0,"",VLOOKUP($B16,'[1]Cost Analysis'!$C:$FO,131,FALSE))</f>
        <v/>
      </c>
      <c r="CE16" s="7" t="str">
        <f>IF(VLOOKUP($B16,'[1]Cost Analysis'!$C:$FO,132,FALSE)=0,"",VLOOKUP($B16,'[1]Cost Analysis'!$C:$FO,132,FALSE))</f>
        <v/>
      </c>
      <c r="CF16" s="7" t="str">
        <f>IF(VLOOKUP($B16,'[1]Cost Analysis'!$C:$FO,133,FALSE)=0,"",VLOOKUP($B16,'[1]Cost Analysis'!$C:$FO,133,FALSE))</f>
        <v/>
      </c>
      <c r="CG16" s="7" t="str">
        <f>IF(VLOOKUP($B16,'[1]Cost Analysis'!$C:$FO,134,FALSE)=0,"",VLOOKUP($B16,'[1]Cost Analysis'!$C:$FO,134,FALSE))</f>
        <v/>
      </c>
      <c r="CH16" s="7" t="str">
        <f>IF(VLOOKUP($B16,'[1]Cost Analysis'!$C:$FO,135,FALSE)=0,"",VLOOKUP($B16,'[1]Cost Analysis'!$C:$FO,135,FALSE))</f>
        <v/>
      </c>
      <c r="CI16" s="7" t="str">
        <f>IF(VLOOKUP($B16,'[1]Cost Analysis'!$C:$FO,136,FALSE)=0,"",VLOOKUP($B16,'[1]Cost Analysis'!$C:$FO,136,FALSE))</f>
        <v/>
      </c>
      <c r="CJ16" s="7" t="str">
        <f>IF(VLOOKUP($B16,'[1]Cost Analysis'!$C:$FO,137,FALSE)=0,"",VLOOKUP($B16,'[1]Cost Analysis'!$C:$FO,137,FALSE))</f>
        <v/>
      </c>
      <c r="CK16" s="7" t="str">
        <f>IF(VLOOKUP($B16,'[1]Cost Analysis'!$C:$FO,138,FALSE)=0,"",VLOOKUP($B16,'[1]Cost Analysis'!$C:$FO,138,FALSE))</f>
        <v/>
      </c>
      <c r="CL16" s="7" t="str">
        <f>IF(VLOOKUP($B16,'[1]Cost Analysis'!$C:$FO,139,FALSE)=0,"",VLOOKUP($B16,'[1]Cost Analysis'!$C:$FO,139,FALSE))</f>
        <v/>
      </c>
    </row>
    <row r="17" spans="1:90" ht="30" x14ac:dyDescent="0.25">
      <c r="A17" s="13" t="s">
        <v>31</v>
      </c>
      <c r="B17" s="13" t="s">
        <v>43</v>
      </c>
      <c r="C17" s="19" t="str">
        <f>VLOOKUP($B17,'[1]Cost Analysis'!$C:$FO,7,FALSE)</f>
        <v>Milestone 3</v>
      </c>
      <c r="D17" s="19" t="str">
        <f>VLOOKUP($B17,'[1]Cost Analysis'!$C:$FO,8,FALSE)</f>
        <v>Under Construction</v>
      </c>
      <c r="E17" s="18">
        <f>IF(ISERROR(VLOOKUP($B17,'[1]Cost Analysis'!$C:$FO,9,FALSE)),"",VLOOKUP($B17,'[1]Cost Analysis'!$C:$FO,9,FALSE))</f>
        <v>122540000</v>
      </c>
      <c r="F17" s="17">
        <f>IF(ISERROR(VLOOKUP($B17,'[1]Cost Analysis'!$C:$FO,10,FALSE)),"",VLOOKUP($B17,'[1]Cost Analysis'!$C:$FO,10,FALSE))</f>
        <v>394.32613158792373</v>
      </c>
      <c r="G17" s="9">
        <f>IF(ISERROR(VLOOKUP($B17,'[1]Cost Analysis'!$C:$FO,12,FALSE)),"",VLOOKUP($B17,'[1]Cost Analysis'!$C:$FO,12,FALSE))</f>
        <v>2087448</v>
      </c>
      <c r="H17" s="17">
        <f>IF(ISERROR(VLOOKUP($B17,'[1]Cost Analysis'!$C:$FO,13,FALSE)),"",VLOOKUP($B17,'[1]Cost Analysis'!$C:$FO,13,FALSE))</f>
        <v>6.7172783966945344</v>
      </c>
      <c r="I17" s="16">
        <f>IF(ISERROR(VLOOKUP($B17,'[1]Cost Analysis'!$C:$FO,14,FALSE)),"",VLOOKUP($B17,'[1]Cost Analysis'!$C:$FO,14,FALSE))</f>
        <v>1.7034829443447037E-2</v>
      </c>
      <c r="J17" s="18">
        <f>IF(ISERROR(VLOOKUP($B17,'[1]Cost Analysis'!$C:$FO,15,FALSE)),"",VLOOKUP($B17,'[1]Cost Analysis'!$C:$FO,15,FALSE))</f>
        <v>1050000</v>
      </c>
      <c r="K17" s="16">
        <f>IF(ISERROR(VLOOKUP($B17,'[1]Cost Analysis'!$C:$FO,16,FALSE)),"",VLOOKUP($B17,'[1]Cost Analysis'!$C:$FO,16,FALSE))</f>
        <v>8.5686306512159291E-3</v>
      </c>
      <c r="L17" s="17">
        <f>IF(ISERROR(VLOOKUP($B17,'[1]Cost Analysis'!$C:$FO,17,FALSE)),"",VLOOKUP($B17,'[1]Cost Analysis'!$C:$FO,17,FALSE))</f>
        <v>1037448</v>
      </c>
      <c r="M17" s="17">
        <f>IF(ISERROR(VLOOKUP($B17,'[1]Cost Analysis'!$C:$FO,18,FALSE)),"",VLOOKUP($B17,'[1]Cost Analysis'!$C:$FO,18,FALSE))</f>
        <v>3.3672965393335117</v>
      </c>
      <c r="N17" s="16">
        <f>IF(ISERROR(VLOOKUP($B17,'[1]Cost Analysis'!$C:$FO,19,FALSE)),"",VLOOKUP($B17,'[1]Cost Analysis'!$C:$FO,19,FALSE))</f>
        <v>8.5393694954317232E-3</v>
      </c>
      <c r="O17" s="11" t="str">
        <f>IF(ISERROR(VLOOKUP($B17,'[1]Cost Analysis'!$C:$FO,36,FALSE)),"",VLOOKUP($B17,'[1]Cost Analysis'!$C:$FO,36,FALSE))</f>
        <v>-</v>
      </c>
      <c r="P17" s="13" t="str">
        <f>IF(ISERROR(VLOOKUP($B17,'[1]Cost Analysis'!$C:$FO,37,FALSE)),"",VLOOKUP($B17,'[1]Cost Analysis'!$C:$FO,37,FALSE))</f>
        <v>-</v>
      </c>
      <c r="Q17" s="11">
        <f>VLOOKUP($B17,'[1]Cost Analysis'!$C:$FO,39,FALSE)</f>
        <v>310758</v>
      </c>
      <c r="R17" s="11">
        <f>VLOOKUP($B17,'[1]Cost Analysis'!$C:$FO,40,FALSE)</f>
        <v>264033</v>
      </c>
      <c r="S17" s="13">
        <f>VLOOKUP($B17,'[1]Cost Analysis'!$C:$FO,41,FALSE)</f>
        <v>1</v>
      </c>
      <c r="T17" s="13">
        <f>VLOOKUP($B17,'[1]Cost Analysis'!$C:$FO,42,FALSE)</f>
        <v>26</v>
      </c>
      <c r="U17" s="13">
        <f>VLOOKUP($B17,'[1]Cost Analysis'!$C:$FO,43,FALSE)</f>
        <v>277</v>
      </c>
      <c r="V17" s="13" t="str">
        <f>VLOOKUP($B17,'[1]Cost Analysis'!$C:$FO,44,FALSE)</f>
        <v>Phius</v>
      </c>
      <c r="W17" s="13" t="str">
        <f>VLOOKUP($B17,'[1]Cost Analysis'!$C:$FO,45,FALSE)</f>
        <v>NYC</v>
      </c>
      <c r="X17" s="15" t="str">
        <f>VLOOKUP($B17,'[1]Cost Analysis'!$C:$FO,46,FALSE)</f>
        <v>Fossil Fuels</v>
      </c>
      <c r="Y17" s="14" t="str">
        <f>VLOOKUP($B17,'[1]Cost Analysis'!$C:$FO,47,FALSE)</f>
        <v>LMI</v>
      </c>
      <c r="Z17" s="13" t="str">
        <f>VLOOKUP($B17,'[1]Cost Analysis'!$C:$FO,48,FALSE)</f>
        <v>Yes</v>
      </c>
      <c r="AA17" s="13" t="str">
        <f>VLOOKUP($B17,'[1]Cost Analysis'!$C:$FO,49,FALSE)</f>
        <v>Block and Plank</v>
      </c>
      <c r="AB17" s="13" t="str">
        <f>VLOOKUP($B17,'[1]Cost Analysis'!$C:$FO,50,FALSE)</f>
        <v>VRF - ASHP</v>
      </c>
      <c r="AC17" s="13" t="str">
        <f>VLOOKUP($B17,'[1]Cost Analysis'!$C:$FO,51,FALSE)</f>
        <v>ERV</v>
      </c>
      <c r="AD17" s="13" t="str">
        <f>VLOOKUP($B17,'[1]Cost Analysis'!$C:$FO,52,FALSE)</f>
        <v>Fossil Fuel</v>
      </c>
      <c r="AE17" s="13" t="str">
        <f>VLOOKUP($B17,'[1]Cost Analysis'!$C:$FO,53,FALSE)</f>
        <v>Yes</v>
      </c>
      <c r="AF17" s="13" t="str">
        <f>VLOOKUP($B17,'[1]Cost Analysis'!$C:$FO,54,FALSE)</f>
        <v>High Rise</v>
      </c>
      <c r="AG17" s="13" t="str">
        <f>IF(VLOOKUP($B17,'[1]Cost Analysis'!$C:$FO,55,FALSE)="PV","Yes","No")</f>
        <v>No</v>
      </c>
      <c r="AH17" s="13" t="str">
        <f>VLOOKUP($B17,'[1]Cost Analysis'!$C:$FO,57,FALSE)</f>
        <v>No</v>
      </c>
      <c r="AI17" s="13" t="str">
        <f>VLOOKUP($B17,'[1]Cost Analysis'!$C:$FO,58,FALSE)</f>
        <v>No</v>
      </c>
      <c r="AJ17" s="13" t="str">
        <f>VLOOKUP($B17,'[1]Cost Analysis'!$C:$FO,59,FALSE)</f>
        <v>No</v>
      </c>
      <c r="AK17" s="13">
        <f>VLOOKUP($B17,'[1]Cost Analysis'!$C:$FO,60,FALSE)</f>
        <v>4</v>
      </c>
      <c r="AL17" s="13" t="str">
        <f>VLOOKUP($B17,'[1]Cost Analysis'!$C:$FO,61,FALSE)</f>
        <v>Yes</v>
      </c>
      <c r="AM17" s="13" t="str">
        <f>VLOOKUP($B17,'[1]Cost Analysis'!$C:$FO,62,FALSE)</f>
        <v>NC</v>
      </c>
      <c r="AN17" s="12" t="str">
        <f>VLOOKUP($B17,'[1]Cost Analysis'!$C:$FO,63,FALSE)</f>
        <v>2016 ECCC of NYS</v>
      </c>
      <c r="AO17" s="12" t="str">
        <f>VLOOKUP($B17,'[1]Cost Analysis'!$C:$FO,67,FALSE)</f>
        <v>No</v>
      </c>
      <c r="AP17" s="12" t="str">
        <f>VLOOKUP($B17,'[1]Cost Analysis'!$C:$FO,69,FALSE)</f>
        <v>Yes</v>
      </c>
      <c r="AQ17" s="11">
        <f>VLOOKUP($B17,'[1]Cost Analysis'!$C:$FO,74,FALSE)</f>
        <v>13586516</v>
      </c>
      <c r="AR17" s="11">
        <f>VLOOKUP($B17,'[1]Cost Analysis'!$C:$FO,75,FALSE)</f>
        <v>13586516</v>
      </c>
      <c r="AS17" s="10">
        <f>IF(ISERROR(VLOOKUP($B17,'[1]Cost Analysis'!$C:$FO,76,FALSE)),"",VLOOKUP($B17,'[1]Cost Analysis'!$C:$FO,76,FALSE))</f>
        <v>0</v>
      </c>
      <c r="AT17" s="9">
        <f>VLOOKUP($B17,'[1]Cost Analysis'!$C:$FO,78,FALSE)</f>
        <v>211330.99</v>
      </c>
      <c r="AU17" s="9">
        <f>VLOOKUP($B17,'[1]Cost Analysis'!$C:$FO,82,FALSE)</f>
        <v>0.8003961247268333</v>
      </c>
      <c r="AV17" s="8">
        <f>VLOOKUP($B17,'[1]Cost Analysis'!$C:$FO,83,FALSE)</f>
        <v>43.720567129406163</v>
      </c>
      <c r="AW17" s="7">
        <f>IF(VLOOKUP($B17,'[1]Cost Analysis'!$C:$FO,86,FALSE)=0,"",VLOOKUP($B17,'[1]Cost Analysis'!$C:$FO,86,FALSE))</f>
        <v>6998906</v>
      </c>
      <c r="AX17" s="7">
        <f>IF(VLOOKUP($B17,'[1]Cost Analysis'!$C:$FO,87,FALSE)=0,"",VLOOKUP($B17,'[1]Cost Analysis'!$C:$FO,87,FALSE))</f>
        <v>22898351.84</v>
      </c>
      <c r="AY17" s="7">
        <f>IF(VLOOKUP($B17,'[1]Cost Analysis'!$C:$FO,88,FALSE)=0,"",VLOOKUP($B17,'[1]Cost Analysis'!$C:$FO,88,FALSE))</f>
        <v>6106206</v>
      </c>
      <c r="AZ17" s="7">
        <f>IF(VLOOKUP($B17,'[1]Cost Analysis'!$C:$FO,89,FALSE)=0,"",VLOOKUP($B17,'[1]Cost Analysis'!$C:$FO,89,FALSE))</f>
        <v>434701</v>
      </c>
      <c r="BA17" s="7" t="str">
        <f>IF(VLOOKUP($B17,'[1]Cost Analysis'!$C:$FO,90,FALSE)=0,"",VLOOKUP($B17,'[1]Cost Analysis'!$C:$FO,90,FALSE))</f>
        <v/>
      </c>
      <c r="BB17" s="7">
        <f>IF(VLOOKUP($B17,'[1]Cost Analysis'!$C:$FO,91,FALSE)=0,"",VLOOKUP($B17,'[1]Cost Analysis'!$C:$FO,91,FALSE))</f>
        <v>617156</v>
      </c>
      <c r="BC17" s="7" t="str">
        <f>IF(VLOOKUP($B17,'[1]Cost Analysis'!$C:$FO,92,FALSE)=0,"",VLOOKUP($B17,'[1]Cost Analysis'!$C:$FO,92,FALSE))</f>
        <v/>
      </c>
      <c r="BD17" s="7">
        <f>IF(VLOOKUP($B17,'[1]Cost Analysis'!$C:$FO,93,FALSE)=0,"",VLOOKUP($B17,'[1]Cost Analysis'!$C:$FO,93,FALSE))</f>
        <v>546700</v>
      </c>
      <c r="BE17" s="7">
        <f>IF(VLOOKUP($B17,'[1]Cost Analysis'!$C:$FO,94,FALSE)=0,"",VLOOKUP($B17,'[1]Cost Analysis'!$C:$FO,94,FALSE))</f>
        <v>50300</v>
      </c>
      <c r="BF17" s="7">
        <f>IF(VLOOKUP($B17,'[1]Cost Analysis'!$C:$FO,95,FALSE)=0,"",VLOOKUP($B17,'[1]Cost Analysis'!$C:$FO,95,FALSE))</f>
        <v>84887679.159999996</v>
      </c>
      <c r="BG17" s="7">
        <f>IF(VLOOKUP($B17,'[1]Cost Analysis'!$C:$FO,96,FALSE)=0,"",VLOOKUP($B17,'[1]Cost Analysis'!$C:$FO,96,FALSE))</f>
        <v>122540000</v>
      </c>
      <c r="BH17" s="7">
        <f>IF(VLOOKUP($B17,'[1]Cost Analysis'!$C:$FO,97,FALSE)=0,"",VLOOKUP($B17,'[1]Cost Analysis'!$C:$FO,97,FALSE))</f>
        <v>-300000</v>
      </c>
      <c r="BI17" s="7" t="str">
        <f>IF(VLOOKUP($B17,'[1]Cost Analysis'!$C:$FO,98,FALSE)=0,"",VLOOKUP($B17,'[1]Cost Analysis'!$C:$FO,98,FALSE))</f>
        <v/>
      </c>
      <c r="BJ17" s="7" t="str">
        <f>IF(VLOOKUP($B17,'[1]Cost Analysis'!$C:$FO,99,FALSE)=0,"",VLOOKUP($B17,'[1]Cost Analysis'!$C:$FO,99,FALSE))</f>
        <v/>
      </c>
      <c r="BK17" s="7" t="str">
        <f>IF(VLOOKUP($B17,'[1]Cost Analysis'!$C:$FO,100,FALSE)=0,"",VLOOKUP($B17,'[1]Cost Analysis'!$C:$FO,100,FALSE))</f>
        <v/>
      </c>
      <c r="BL17" s="7" t="str">
        <f>IF(VLOOKUP($B17,'[1]Cost Analysis'!$C:$FO,101,FALSE)=0,"",VLOOKUP($B17,'[1]Cost Analysis'!$C:$FO,101,FALSE))</f>
        <v/>
      </c>
      <c r="BM17" s="7" t="str">
        <f>IF(VLOOKUP($B17,'[1]Cost Analysis'!$C:$FO,102,FALSE)=0,"",VLOOKUP($B17,'[1]Cost Analysis'!$C:$FO,102,FALSE))</f>
        <v/>
      </c>
      <c r="BN17" s="7" t="str">
        <f>IF(VLOOKUP($B17,'[1]Cost Analysis'!$C:$FO,103,FALSE)=0,"",VLOOKUP($B17,'[1]Cost Analysis'!$C:$FO,103,FALSE))</f>
        <v/>
      </c>
      <c r="BO17" s="7">
        <f>IF(VLOOKUP($B17,'[1]Cost Analysis'!$C:$FO,104,FALSE)=0,"",VLOOKUP($B17,'[1]Cost Analysis'!$C:$FO,104,FALSE))</f>
        <v>-300000</v>
      </c>
      <c r="BP17" s="7">
        <f>IF(VLOOKUP($B17,'[1]Cost Analysis'!$C:$FO,105,FALSE)=0,"",VLOOKUP($B17,'[1]Cost Analysis'!$C:$FO,105,FALSE))</f>
        <v>-750000</v>
      </c>
      <c r="BQ17" s="7" t="str">
        <f>IF(VLOOKUP($B17,'[1]Cost Analysis'!$C:$FO,106,FALSE)=0,"",VLOOKUP($B17,'[1]Cost Analysis'!$C:$FO,106,FALSE))</f>
        <v/>
      </c>
      <c r="BR17" s="7" t="str">
        <f>IF(VLOOKUP($B17,'[1]Cost Analysis'!$C:$FO,107,FALSE)=0,"",VLOOKUP($B17,'[1]Cost Analysis'!$C:$FO,107,FALSE))</f>
        <v/>
      </c>
      <c r="BS17" s="7" t="str">
        <f>IF(VLOOKUP($B17,'[1]Cost Analysis'!$C:$FO,108,FALSE)=0,"",VLOOKUP($B17,'[1]Cost Analysis'!$C:$FO,108,FALSE))</f>
        <v/>
      </c>
      <c r="BT17" s="7" t="str">
        <f>IF(VLOOKUP($B17,'[1]Cost Analysis'!$C:$FO,109,FALSE)=0,"",VLOOKUP($B17,'[1]Cost Analysis'!$C:$FO,109,FALSE))</f>
        <v/>
      </c>
      <c r="BU17" s="7" t="str">
        <f>IF(VLOOKUP($B17,'[1]Cost Analysis'!$C:$FO,110,FALSE)=0,"",VLOOKUP($B17,'[1]Cost Analysis'!$C:$FO,110,FALSE))</f>
        <v/>
      </c>
      <c r="BV17" s="7" t="str">
        <f>IF(VLOOKUP($B17,'[1]Cost Analysis'!$C:$FO,111,FALSE)=0,"",VLOOKUP($B17,'[1]Cost Analysis'!$C:$FO,111,FALSE))</f>
        <v/>
      </c>
      <c r="BW17" s="7">
        <f>IF(VLOOKUP($B17,'[1]Cost Analysis'!$C:$FO,112,FALSE)=0,"",VLOOKUP($B17,'[1]Cost Analysis'!$C:$FO,112,FALSE))</f>
        <v>121490000</v>
      </c>
      <c r="BX17" s="7">
        <f>IF(VLOOKUP($B17,'[1]Cost Analysis'!$C:$FO,125,FALSE)=0,"",VLOOKUP($B17,'[1]Cost Analysis'!$C:$FO,125,FALSE))</f>
        <v>5890906</v>
      </c>
      <c r="BY17" s="7">
        <f>IF(VLOOKUP($B17,'[1]Cost Analysis'!$C:$FO,126,FALSE)=0,"",VLOOKUP($B17,'[1]Cost Analysis'!$C:$FO,126,FALSE))</f>
        <v>22202751.84</v>
      </c>
      <c r="BZ17" s="7">
        <f>IF(VLOOKUP($B17,'[1]Cost Analysis'!$C:$FO,127,FALSE)=0,"",VLOOKUP($B17,'[1]Cost Analysis'!$C:$FO,127,FALSE))</f>
        <v>5856206</v>
      </c>
      <c r="CA17" s="7">
        <f>IF(VLOOKUP($B17,'[1]Cost Analysis'!$C:$FO,128,FALSE)=0,"",VLOOKUP($B17,'[1]Cost Analysis'!$C:$FO,128,FALSE))</f>
        <v>434701</v>
      </c>
      <c r="CB17" s="7" t="str">
        <f>IF(VLOOKUP($B17,'[1]Cost Analysis'!$C:$FO,129,FALSE)=0,"",VLOOKUP($B17,'[1]Cost Analysis'!$C:$FO,129,FALSE))</f>
        <v/>
      </c>
      <c r="CC17" s="7">
        <f>IF(VLOOKUP($B17,'[1]Cost Analysis'!$C:$FO,130,FALSE)=0,"",VLOOKUP($B17,'[1]Cost Analysis'!$C:$FO,130,FALSE))</f>
        <v>499708</v>
      </c>
      <c r="CD17" s="7" t="str">
        <f>IF(VLOOKUP($B17,'[1]Cost Analysis'!$C:$FO,131,FALSE)=0,"",VLOOKUP($B17,'[1]Cost Analysis'!$C:$FO,131,FALSE))</f>
        <v/>
      </c>
      <c r="CE17" s="7">
        <f>IF(VLOOKUP($B17,'[1]Cost Analysis'!$C:$FO,132,FALSE)=0,"",VLOOKUP($B17,'[1]Cost Analysis'!$C:$FO,132,FALSE))</f>
        <v>546700</v>
      </c>
      <c r="CF17" s="7">
        <f>IF(VLOOKUP($B17,'[1]Cost Analysis'!$C:$FO,133,FALSE)=0,"",VLOOKUP($B17,'[1]Cost Analysis'!$C:$FO,133,FALSE))</f>
        <v>133900</v>
      </c>
      <c r="CG17" s="7">
        <f>IF(VLOOKUP($B17,'[1]Cost Analysis'!$C:$FO,134,FALSE)=0,"",VLOOKUP($B17,'[1]Cost Analysis'!$C:$FO,134,FALSE))</f>
        <v>84887679.159999996</v>
      </c>
      <c r="CH17" s="7">
        <f>IF(VLOOKUP($B17,'[1]Cost Analysis'!$C:$FO,135,FALSE)=0,"",VLOOKUP($B17,'[1]Cost Analysis'!$C:$FO,135,FALSE))</f>
        <v>120452552</v>
      </c>
      <c r="CI17" s="7" t="str">
        <f>IF(VLOOKUP($B17,'[1]Cost Analysis'!$C:$FO,136,FALSE)=0,"",VLOOKUP($B17,'[1]Cost Analysis'!$C:$FO,136,FALSE))</f>
        <v/>
      </c>
      <c r="CJ17" s="7" t="str">
        <f>IF(VLOOKUP($B17,'[1]Cost Analysis'!$C:$FO,137,FALSE)=0,"",VLOOKUP($B17,'[1]Cost Analysis'!$C:$FO,137,FALSE))</f>
        <v/>
      </c>
      <c r="CK17" s="7" t="str">
        <f>IF(VLOOKUP($B17,'[1]Cost Analysis'!$C:$FO,138,FALSE)=0,"",VLOOKUP($B17,'[1]Cost Analysis'!$C:$FO,138,FALSE))</f>
        <v/>
      </c>
      <c r="CL17" s="7">
        <f>IF(VLOOKUP($B17,'[1]Cost Analysis'!$C:$FO,139,FALSE)=0,"",VLOOKUP($B17,'[1]Cost Analysis'!$C:$FO,139,FALSE))</f>
        <v>120452552</v>
      </c>
    </row>
    <row r="18" spans="1:90" ht="45" x14ac:dyDescent="0.25">
      <c r="A18" s="13" t="s">
        <v>31</v>
      </c>
      <c r="B18" s="13" t="s">
        <v>42</v>
      </c>
      <c r="C18" s="19" t="str">
        <f>VLOOKUP($B18,'[1]Cost Analysis'!$C:$FO,7,FALSE)</f>
        <v>Proposal</v>
      </c>
      <c r="D18" s="19" t="str">
        <f>VLOOKUP($B18,'[1]Cost Analysis'!$C:$FO,8,FALSE)</f>
        <v>Early Design</v>
      </c>
      <c r="E18" s="18">
        <f>IF(ISERROR(VLOOKUP($B18,'[1]Cost Analysis'!$C:$FO,9,FALSE)),"",VLOOKUP($B18,'[1]Cost Analysis'!$C:$FO,9,FALSE))</f>
        <v>22578074</v>
      </c>
      <c r="F18" s="17">
        <f>IF(ISERROR(VLOOKUP($B18,'[1]Cost Analysis'!$C:$FO,10,FALSE)),"",VLOOKUP($B18,'[1]Cost Analysis'!$C:$FO,10,FALSE))</f>
        <v>235.44333444564944</v>
      </c>
      <c r="G18" s="9">
        <f>IF(ISERROR(VLOOKUP($B18,'[1]Cost Analysis'!$C:$FO,12,FALSE)),"",VLOOKUP($B18,'[1]Cost Analysis'!$C:$FO,12,FALSE))</f>
        <v>2032026.66</v>
      </c>
      <c r="H18" s="17">
        <f>IF(ISERROR(VLOOKUP($B18,'[1]Cost Analysis'!$C:$FO,13,FALSE)),"",VLOOKUP($B18,'[1]Cost Analysis'!$C:$FO,13,FALSE))</f>
        <v>21.189900100108449</v>
      </c>
      <c r="I18" s="16">
        <f>IF(ISERROR(VLOOKUP($B18,'[1]Cost Analysis'!$C:$FO,14,FALSE)),"",VLOOKUP($B18,'[1]Cost Analysis'!$C:$FO,14,FALSE))</f>
        <v>0.09</v>
      </c>
      <c r="J18" s="18">
        <f>IF(ISERROR(VLOOKUP($B18,'[1]Cost Analysis'!$C:$FO,15,FALSE)),"",VLOOKUP($B18,'[1]Cost Analysis'!$C:$FO,15,FALSE))</f>
        <v>1215000</v>
      </c>
      <c r="K18" s="16">
        <f>IF(ISERROR(VLOOKUP($B18,'[1]Cost Analysis'!$C:$FO,16,FALSE)),"",VLOOKUP($B18,'[1]Cost Analysis'!$C:$FO,16,FALSE))</f>
        <v>5.3813270343608582E-2</v>
      </c>
      <c r="L18" s="17">
        <f>IF(ISERROR(VLOOKUP($B18,'[1]Cost Analysis'!$C:$FO,17,FALSE)),"",VLOOKUP($B18,'[1]Cost Analysis'!$C:$FO,17,FALSE))</f>
        <v>817026.65999999992</v>
      </c>
      <c r="M18" s="17">
        <f>IF(ISERROR(VLOOKUP($B18,'[1]Cost Analysis'!$C:$FO,18,FALSE)),"",VLOOKUP($B18,'[1]Cost Analysis'!$C:$FO,18,FALSE))</f>
        <v>8.5199242929840651</v>
      </c>
      <c r="N18" s="16">
        <f>IF(ISERROR(VLOOKUP($B18,'[1]Cost Analysis'!$C:$FO,19,FALSE)),"",VLOOKUP($B18,'[1]Cost Analysis'!$C:$FO,19,FALSE))</f>
        <v>3.6186729656391414E-2</v>
      </c>
      <c r="O18" s="11">
        <f>IF(ISERROR(VLOOKUP($B18,'[1]Cost Analysis'!$C:$FO,36,FALSE)),"",VLOOKUP($B18,'[1]Cost Analysis'!$C:$FO,36,FALSE))</f>
        <v>346716</v>
      </c>
      <c r="P18" s="13" t="str">
        <f>IF(ISERROR(VLOOKUP($B18,'[1]Cost Analysis'!$C:$FO,37,FALSE)),"",VLOOKUP($B18,'[1]Cost Analysis'!$C:$FO,37,FALSE))</f>
        <v>Onsite Solar electric (PV) Owned
and
Remote Solar electric (PV) Owned</v>
      </c>
      <c r="Q18" s="11">
        <f>VLOOKUP($B18,'[1]Cost Analysis'!$C:$FO,39,FALSE)</f>
        <v>95896</v>
      </c>
      <c r="R18" s="11">
        <f>VLOOKUP($B18,'[1]Cost Analysis'!$C:$FO,40,FALSE)</f>
        <v>91630</v>
      </c>
      <c r="S18" s="13">
        <f>VLOOKUP($B18,'[1]Cost Analysis'!$C:$FO,41,FALSE)</f>
        <v>1</v>
      </c>
      <c r="T18" s="13">
        <f>VLOOKUP($B18,'[1]Cost Analysis'!$C:$FO,42,FALSE)</f>
        <v>5</v>
      </c>
      <c r="U18" s="13">
        <f>VLOOKUP($B18,'[1]Cost Analysis'!$C:$FO,43,FALSE)</f>
        <v>77</v>
      </c>
      <c r="V18" s="13" t="str">
        <f>VLOOKUP($B18,'[1]Cost Analysis'!$C:$FO,44,FALSE)</f>
        <v>Phius</v>
      </c>
      <c r="W18" s="13" t="str">
        <f>VLOOKUP($B18,'[1]Cost Analysis'!$C:$FO,45,FALSE)</f>
        <v>Capital Region</v>
      </c>
      <c r="X18" s="15" t="str">
        <f>VLOOKUP($B18,'[1]Cost Analysis'!$C:$FO,46,FALSE)</f>
        <v>All Electric</v>
      </c>
      <c r="Y18" s="14" t="str">
        <f>VLOOKUP($B18,'[1]Cost Analysis'!$C:$FO,47,FALSE)</f>
        <v>LMI</v>
      </c>
      <c r="Z18" s="13" t="str">
        <f>VLOOKUP($B18,'[1]Cost Analysis'!$C:$FO,48,FALSE)</f>
        <v>Yes</v>
      </c>
      <c r="AA18" s="13" t="str">
        <f>VLOOKUP($B18,'[1]Cost Analysis'!$C:$FO,49,FALSE)</f>
        <v>Panelized</v>
      </c>
      <c r="AB18" s="13" t="str">
        <f>VLOOKUP($B18,'[1]Cost Analysis'!$C:$FO,50,FALSE)</f>
        <v>VRF - ASHP</v>
      </c>
      <c r="AC18" s="13" t="str">
        <f>VLOOKUP($B18,'[1]Cost Analysis'!$C:$FO,51,FALSE)</f>
        <v>ERV</v>
      </c>
      <c r="AD18" s="13" t="str">
        <f>VLOOKUP($B18,'[1]Cost Analysis'!$C:$FO,52,FALSE)</f>
        <v xml:space="preserve">ASHP w/ CO2 </v>
      </c>
      <c r="AE18" s="13" t="str">
        <f>VLOOKUP($B18,'[1]Cost Analysis'!$C:$FO,53,FALSE)</f>
        <v>Yes</v>
      </c>
      <c r="AF18" s="13" t="str">
        <f>VLOOKUP($B18,'[1]Cost Analysis'!$C:$FO,54,FALSE)</f>
        <v>Mid Rise</v>
      </c>
      <c r="AG18" s="13" t="str">
        <f>IF(VLOOKUP($B18,'[1]Cost Analysis'!$C:$FO,55,FALSE)="PV","Yes","No")</f>
        <v>Yes</v>
      </c>
      <c r="AH18" s="13" t="str">
        <f>VLOOKUP($B18,'[1]Cost Analysis'!$C:$FO,57,FALSE)</f>
        <v>No</v>
      </c>
      <c r="AI18" s="13" t="str">
        <f>VLOOKUP($B18,'[1]Cost Analysis'!$C:$FO,58,FALSE)</f>
        <v>No</v>
      </c>
      <c r="AJ18" s="13" t="str">
        <f>VLOOKUP($B18,'[1]Cost Analysis'!$C:$FO,59,FALSE)</f>
        <v>No</v>
      </c>
      <c r="AK18" s="13">
        <f>VLOOKUP($B18,'[1]Cost Analysis'!$C:$FO,60,FALSE)</f>
        <v>4</v>
      </c>
      <c r="AL18" s="13" t="str">
        <f>VLOOKUP($B18,'[1]Cost Analysis'!$C:$FO,61,FALSE)</f>
        <v>Yes</v>
      </c>
      <c r="AM18" s="13" t="str">
        <f>VLOOKUP($B18,'[1]Cost Analysis'!$C:$FO,62,FALSE)</f>
        <v>NC</v>
      </c>
      <c r="AN18" s="12" t="str">
        <f>VLOOKUP($B18,'[1]Cost Analysis'!$C:$FO,63,FALSE)</f>
        <v>2019 ECCC of NYS 2020 (expected)</v>
      </c>
      <c r="AO18" s="12" t="str">
        <f>VLOOKUP($B18,'[1]Cost Analysis'!$C:$FO,67,FALSE)</f>
        <v>No</v>
      </c>
      <c r="AP18" s="12" t="str">
        <f>VLOOKUP($B18,'[1]Cost Analysis'!$C:$FO,69,FALSE)</f>
        <v>Yes</v>
      </c>
      <c r="AQ18" s="11">
        <f>VLOOKUP($B18,'[1]Cost Analysis'!$C:$FO,74,FALSE)</f>
        <v>1536630</v>
      </c>
      <c r="AR18" s="11">
        <f>VLOOKUP($B18,'[1]Cost Analysis'!$C:$FO,75,FALSE)</f>
        <v>1396441</v>
      </c>
      <c r="AS18" s="10">
        <f>IF(ISERROR(VLOOKUP($B18,'[1]Cost Analysis'!$C:$FO,76,FALSE)),"",VLOOKUP($B18,'[1]Cost Analysis'!$C:$FO,76,FALSE))</f>
        <v>9.1231461054385246E-2</v>
      </c>
      <c r="AT18" s="9">
        <f>VLOOKUP($B18,'[1]Cost Analysis'!$C:$FO,78,FALSE)</f>
        <v>89016.87</v>
      </c>
      <c r="AU18" s="9">
        <f>VLOOKUP($B18,'[1]Cost Analysis'!$C:$FO,82,FALSE)</f>
        <v>0.97148171996071153</v>
      </c>
      <c r="AV18" s="8">
        <f>VLOOKUP($B18,'[1]Cost Analysis'!$C:$FO,83,FALSE)</f>
        <v>14.562035955618587</v>
      </c>
      <c r="AW18" s="7" t="str">
        <f>IF(VLOOKUP($B18,'[1]Cost Analysis'!$C:$FO,86,FALSE)=0,"",VLOOKUP($B18,'[1]Cost Analysis'!$C:$FO,86,FALSE))</f>
        <v/>
      </c>
      <c r="AX18" s="7" t="str">
        <f>IF(VLOOKUP($B18,'[1]Cost Analysis'!$C:$FO,87,FALSE)=0,"",VLOOKUP($B18,'[1]Cost Analysis'!$C:$FO,87,FALSE))</f>
        <v/>
      </c>
      <c r="AY18" s="7" t="str">
        <f>IF(VLOOKUP($B18,'[1]Cost Analysis'!$C:$FO,88,FALSE)=0,"",VLOOKUP($B18,'[1]Cost Analysis'!$C:$FO,88,FALSE))</f>
        <v/>
      </c>
      <c r="AZ18" s="7" t="str">
        <f>IF(VLOOKUP($B18,'[1]Cost Analysis'!$C:$FO,89,FALSE)=0,"",VLOOKUP($B18,'[1]Cost Analysis'!$C:$FO,89,FALSE))</f>
        <v/>
      </c>
      <c r="BA18" s="7" t="str">
        <f>IF(VLOOKUP($B18,'[1]Cost Analysis'!$C:$FO,90,FALSE)=0,"",VLOOKUP($B18,'[1]Cost Analysis'!$C:$FO,90,FALSE))</f>
        <v/>
      </c>
      <c r="BB18" s="7" t="str">
        <f>IF(VLOOKUP($B18,'[1]Cost Analysis'!$C:$FO,91,FALSE)=0,"",VLOOKUP($B18,'[1]Cost Analysis'!$C:$FO,91,FALSE))</f>
        <v/>
      </c>
      <c r="BC18" s="7" t="str">
        <f>IF(VLOOKUP($B18,'[1]Cost Analysis'!$C:$FO,92,FALSE)=0,"",VLOOKUP($B18,'[1]Cost Analysis'!$C:$FO,92,FALSE))</f>
        <v/>
      </c>
      <c r="BD18" s="7" t="str">
        <f>IF(VLOOKUP($B18,'[1]Cost Analysis'!$C:$FO,93,FALSE)=0,"",VLOOKUP($B18,'[1]Cost Analysis'!$C:$FO,93,FALSE))</f>
        <v/>
      </c>
      <c r="BE18" s="7" t="str">
        <f>IF(VLOOKUP($B18,'[1]Cost Analysis'!$C:$FO,94,FALSE)=0,"",VLOOKUP($B18,'[1]Cost Analysis'!$C:$FO,94,FALSE))</f>
        <v/>
      </c>
      <c r="BF18" s="7" t="str">
        <f>IF(VLOOKUP($B18,'[1]Cost Analysis'!$C:$FO,95,FALSE)=0,"",VLOOKUP($B18,'[1]Cost Analysis'!$C:$FO,95,FALSE))</f>
        <v/>
      </c>
      <c r="BG18" s="7" t="str">
        <f>IF(VLOOKUP($B18,'[1]Cost Analysis'!$C:$FO,96,FALSE)=0,"",VLOOKUP($B18,'[1]Cost Analysis'!$C:$FO,96,FALSE))</f>
        <v/>
      </c>
      <c r="BH18" s="7" t="str">
        <f>IF(VLOOKUP($B18,'[1]Cost Analysis'!$C:$FO,97,FALSE)=0,"",VLOOKUP($B18,'[1]Cost Analysis'!$C:$FO,97,FALSE))</f>
        <v/>
      </c>
      <c r="BI18" s="7" t="str">
        <f>IF(VLOOKUP($B18,'[1]Cost Analysis'!$C:$FO,98,FALSE)=0,"",VLOOKUP($B18,'[1]Cost Analysis'!$C:$FO,98,FALSE))</f>
        <v/>
      </c>
      <c r="BJ18" s="7" t="str">
        <f>IF(VLOOKUP($B18,'[1]Cost Analysis'!$C:$FO,99,FALSE)=0,"",VLOOKUP($B18,'[1]Cost Analysis'!$C:$FO,99,FALSE))</f>
        <v/>
      </c>
      <c r="BK18" s="7" t="str">
        <f>IF(VLOOKUP($B18,'[1]Cost Analysis'!$C:$FO,100,FALSE)=0,"",VLOOKUP($B18,'[1]Cost Analysis'!$C:$FO,100,FALSE))</f>
        <v/>
      </c>
      <c r="BL18" s="7" t="str">
        <f>IF(VLOOKUP($B18,'[1]Cost Analysis'!$C:$FO,101,FALSE)=0,"",VLOOKUP($B18,'[1]Cost Analysis'!$C:$FO,101,FALSE))</f>
        <v/>
      </c>
      <c r="BM18" s="7" t="str">
        <f>IF(VLOOKUP($B18,'[1]Cost Analysis'!$C:$FO,102,FALSE)=0,"",VLOOKUP($B18,'[1]Cost Analysis'!$C:$FO,102,FALSE))</f>
        <v/>
      </c>
      <c r="BN18" s="7" t="str">
        <f>IF(VLOOKUP($B18,'[1]Cost Analysis'!$C:$FO,103,FALSE)=0,"",VLOOKUP($B18,'[1]Cost Analysis'!$C:$FO,103,FALSE))</f>
        <v/>
      </c>
      <c r="BO18" s="7" t="str">
        <f>IF(VLOOKUP($B18,'[1]Cost Analysis'!$C:$FO,104,FALSE)=0,"",VLOOKUP($B18,'[1]Cost Analysis'!$C:$FO,104,FALSE))</f>
        <v/>
      </c>
      <c r="BP18" s="7" t="str">
        <f>IF(VLOOKUP($B18,'[1]Cost Analysis'!$C:$FO,105,FALSE)=0,"",VLOOKUP($B18,'[1]Cost Analysis'!$C:$FO,105,FALSE))</f>
        <v/>
      </c>
      <c r="BQ18" s="7" t="str">
        <f>IF(VLOOKUP($B18,'[1]Cost Analysis'!$C:$FO,106,FALSE)=0,"",VLOOKUP($B18,'[1]Cost Analysis'!$C:$FO,106,FALSE))</f>
        <v/>
      </c>
      <c r="BR18" s="7" t="str">
        <f>IF(VLOOKUP($B18,'[1]Cost Analysis'!$C:$FO,107,FALSE)=0,"",VLOOKUP($B18,'[1]Cost Analysis'!$C:$FO,107,FALSE))</f>
        <v/>
      </c>
      <c r="BS18" s="7" t="str">
        <f>IF(VLOOKUP($B18,'[1]Cost Analysis'!$C:$FO,108,FALSE)=0,"",VLOOKUP($B18,'[1]Cost Analysis'!$C:$FO,108,FALSE))</f>
        <v/>
      </c>
      <c r="BT18" s="7" t="str">
        <f>IF(VLOOKUP($B18,'[1]Cost Analysis'!$C:$FO,109,FALSE)=0,"",VLOOKUP($B18,'[1]Cost Analysis'!$C:$FO,109,FALSE))</f>
        <v/>
      </c>
      <c r="BU18" s="7" t="str">
        <f>IF(VLOOKUP($B18,'[1]Cost Analysis'!$C:$FO,110,FALSE)=0,"",VLOOKUP($B18,'[1]Cost Analysis'!$C:$FO,110,FALSE))</f>
        <v/>
      </c>
      <c r="BV18" s="7" t="str">
        <f>IF(VLOOKUP($B18,'[1]Cost Analysis'!$C:$FO,111,FALSE)=0,"",VLOOKUP($B18,'[1]Cost Analysis'!$C:$FO,111,FALSE))</f>
        <v/>
      </c>
      <c r="BW18" s="7" t="str">
        <f>IF(VLOOKUP($B18,'[1]Cost Analysis'!$C:$FO,112,FALSE)=0,"",VLOOKUP($B18,'[1]Cost Analysis'!$C:$FO,112,FALSE))</f>
        <v/>
      </c>
      <c r="BX18" s="7" t="str">
        <f>IF(VLOOKUP($B18,'[1]Cost Analysis'!$C:$FO,125,FALSE)=0,"",VLOOKUP($B18,'[1]Cost Analysis'!$C:$FO,125,FALSE))</f>
        <v/>
      </c>
      <c r="BY18" s="7" t="str">
        <f>IF(VLOOKUP($B18,'[1]Cost Analysis'!$C:$FO,126,FALSE)=0,"",VLOOKUP($B18,'[1]Cost Analysis'!$C:$FO,126,FALSE))</f>
        <v/>
      </c>
      <c r="BZ18" s="7" t="str">
        <f>IF(VLOOKUP($B18,'[1]Cost Analysis'!$C:$FO,127,FALSE)=0,"",VLOOKUP($B18,'[1]Cost Analysis'!$C:$FO,127,FALSE))</f>
        <v/>
      </c>
      <c r="CA18" s="7" t="str">
        <f>IF(VLOOKUP($B18,'[1]Cost Analysis'!$C:$FO,128,FALSE)=0,"",VLOOKUP($B18,'[1]Cost Analysis'!$C:$FO,128,FALSE))</f>
        <v/>
      </c>
      <c r="CB18" s="7" t="str">
        <f>IF(VLOOKUP($B18,'[1]Cost Analysis'!$C:$FO,129,FALSE)=0,"",VLOOKUP($B18,'[1]Cost Analysis'!$C:$FO,129,FALSE))</f>
        <v/>
      </c>
      <c r="CC18" s="7" t="str">
        <f>IF(VLOOKUP($B18,'[1]Cost Analysis'!$C:$FO,130,FALSE)=0,"",VLOOKUP($B18,'[1]Cost Analysis'!$C:$FO,130,FALSE))</f>
        <v/>
      </c>
      <c r="CD18" s="7" t="str">
        <f>IF(VLOOKUP($B18,'[1]Cost Analysis'!$C:$FO,131,FALSE)=0,"",VLOOKUP($B18,'[1]Cost Analysis'!$C:$FO,131,FALSE))</f>
        <v/>
      </c>
      <c r="CE18" s="7" t="str">
        <f>IF(VLOOKUP($B18,'[1]Cost Analysis'!$C:$FO,132,FALSE)=0,"",VLOOKUP($B18,'[1]Cost Analysis'!$C:$FO,132,FALSE))</f>
        <v/>
      </c>
      <c r="CF18" s="7" t="str">
        <f>IF(VLOOKUP($B18,'[1]Cost Analysis'!$C:$FO,133,FALSE)=0,"",VLOOKUP($B18,'[1]Cost Analysis'!$C:$FO,133,FALSE))</f>
        <v/>
      </c>
      <c r="CG18" s="7" t="str">
        <f>IF(VLOOKUP($B18,'[1]Cost Analysis'!$C:$FO,134,FALSE)=0,"",VLOOKUP($B18,'[1]Cost Analysis'!$C:$FO,134,FALSE))</f>
        <v/>
      </c>
      <c r="CH18" s="7" t="str">
        <f>IF(VLOOKUP($B18,'[1]Cost Analysis'!$C:$FO,135,FALSE)=0,"",VLOOKUP($B18,'[1]Cost Analysis'!$C:$FO,135,FALSE))</f>
        <v/>
      </c>
      <c r="CI18" s="7" t="str">
        <f>IF(VLOOKUP($B18,'[1]Cost Analysis'!$C:$FO,136,FALSE)=0,"",VLOOKUP($B18,'[1]Cost Analysis'!$C:$FO,136,FALSE))</f>
        <v/>
      </c>
      <c r="CJ18" s="7" t="str">
        <f>IF(VLOOKUP($B18,'[1]Cost Analysis'!$C:$FO,137,FALSE)=0,"",VLOOKUP($B18,'[1]Cost Analysis'!$C:$FO,137,FALSE))</f>
        <v/>
      </c>
      <c r="CK18" s="7" t="str">
        <f>IF(VLOOKUP($B18,'[1]Cost Analysis'!$C:$FO,138,FALSE)=0,"",VLOOKUP($B18,'[1]Cost Analysis'!$C:$FO,138,FALSE))</f>
        <v/>
      </c>
      <c r="CL18" s="7" t="str">
        <f>IF(VLOOKUP($B18,'[1]Cost Analysis'!$C:$FO,139,FALSE)=0,"",VLOOKUP($B18,'[1]Cost Analysis'!$C:$FO,139,FALSE))</f>
        <v/>
      </c>
    </row>
    <row r="19" spans="1:90" ht="30" x14ac:dyDescent="0.25">
      <c r="A19" s="13" t="s">
        <v>31</v>
      </c>
      <c r="B19" s="13" t="s">
        <v>41</v>
      </c>
      <c r="C19" s="19" t="str">
        <f>VLOOKUP($B19,'[1]Cost Analysis'!$C:$FO,7,FALSE)</f>
        <v>Milestone 2</v>
      </c>
      <c r="D19" s="19" t="str">
        <f>VLOOKUP($B19,'[1]Cost Analysis'!$C:$FO,8,FALSE)</f>
        <v>Late Design</v>
      </c>
      <c r="E19" s="18">
        <f>IF(ISERROR(VLOOKUP($B19,'[1]Cost Analysis'!$C:$FO,9,FALSE)),"",VLOOKUP($B19,'[1]Cost Analysis'!$C:$FO,9,FALSE))</f>
        <v>5981080</v>
      </c>
      <c r="F19" s="17">
        <f>IF(ISERROR(VLOOKUP($B19,'[1]Cost Analysis'!$C:$FO,10,FALSE)),"",VLOOKUP($B19,'[1]Cost Analysis'!$C:$FO,10,FALSE))</f>
        <v>345.66722533664682</v>
      </c>
      <c r="G19" s="9">
        <f>IF(ISERROR(VLOOKUP($B19,'[1]Cost Analysis'!$C:$FO,12,FALSE)),"",VLOOKUP($B19,'[1]Cost Analysis'!$C:$FO,12,FALSE))</f>
        <v>221257.05627705622</v>
      </c>
      <c r="H19" s="17">
        <f>IF(ISERROR(VLOOKUP($B19,'[1]Cost Analysis'!$C:$FO,13,FALSE)),"",VLOOKUP($B19,'[1]Cost Analysis'!$C:$FO,13,FALSE))</f>
        <v>15.302028549962435</v>
      </c>
      <c r="I19" s="16">
        <f>IF(ISERROR(VLOOKUP($B19,'[1]Cost Analysis'!$C:$FO,14,FALSE)),"",VLOOKUP($B19,'[1]Cost Analysis'!$C:$FO,14,FALSE))</f>
        <v>4.4268092050265169E-2</v>
      </c>
      <c r="J19" s="18">
        <f>IF(ISERROR(VLOOKUP($B19,'[1]Cost Analysis'!$C:$FO,15,FALSE)),"",VLOOKUP($B19,'[1]Cost Analysis'!$C:$FO,15,FALSE))</f>
        <v>246596</v>
      </c>
      <c r="K19" s="16">
        <f>IF(ISERROR(VLOOKUP($B19,'[1]Cost Analysis'!$C:$FO,16,FALSE)),"",VLOOKUP($B19,'[1]Cost Analysis'!$C:$FO,16,FALSE))</f>
        <v>4.1229343195543278E-2</v>
      </c>
      <c r="L19" s="17">
        <f>IF(ISERROR(VLOOKUP($B19,'[1]Cost Analysis'!$C:$FO,17,FALSE)),"",VLOOKUP($B19,'[1]Cost Analysis'!$C:$FO,17,FALSE))</f>
        <v>-25338.943722943775</v>
      </c>
      <c r="M19" s="17">
        <f>IF(ISERROR(VLOOKUP($B19,'[1]Cost Analysis'!$C:$FO,18,FALSE)),"",VLOOKUP($B19,'[1]Cost Analysis'!$C:$FO,18,FALSE))</f>
        <v>1.0955653238362086</v>
      </c>
      <c r="N19" s="16">
        <f>IF(ISERROR(VLOOKUP($B19,'[1]Cost Analysis'!$C:$FO,19,FALSE)),"",VLOOKUP($B19,'[1]Cost Analysis'!$C:$FO,19,FALSE))</f>
        <v>3.1694220439014219E-3</v>
      </c>
      <c r="O19" s="11">
        <f>IF(ISERROR(VLOOKUP($B19,'[1]Cost Analysis'!$C:$FO,36,FALSE)),"",VLOOKUP($B19,'[1]Cost Analysis'!$C:$FO,36,FALSE))</f>
        <v>59904</v>
      </c>
      <c r="P19" s="13" t="str">
        <f>IF(ISERROR(VLOOKUP($B19,'[1]Cost Analysis'!$C:$FO,37,FALSE)),"",VLOOKUP($B19,'[1]Cost Analysis'!$C:$FO,37,FALSE))</f>
        <v>Onsite Solar electric (PV) Owned</v>
      </c>
      <c r="Q19" s="11">
        <f>VLOOKUP($B19,'[1]Cost Analysis'!$C:$FO,39,FALSE)</f>
        <v>17303</v>
      </c>
      <c r="R19" s="11">
        <f>VLOOKUP($B19,'[1]Cost Analysis'!$C:$FO,40,FALSE)</f>
        <v>17303</v>
      </c>
      <c r="S19" s="13">
        <f>VLOOKUP($B19,'[1]Cost Analysis'!$C:$FO,41,FALSE)</f>
        <v>1</v>
      </c>
      <c r="T19" s="13">
        <f>VLOOKUP($B19,'[1]Cost Analysis'!$C:$FO,42,FALSE)</f>
        <v>5</v>
      </c>
      <c r="U19" s="13">
        <f>VLOOKUP($B19,'[1]Cost Analysis'!$C:$FO,43,FALSE)</f>
        <v>10</v>
      </c>
      <c r="V19" s="13" t="str">
        <f>VLOOKUP($B19,'[1]Cost Analysis'!$C:$FO,44,FALSE)</f>
        <v>PHI</v>
      </c>
      <c r="W19" s="13" t="str">
        <f>VLOOKUP($B19,'[1]Cost Analysis'!$C:$FO,45,FALSE)</f>
        <v>NYC</v>
      </c>
      <c r="X19" s="15" t="str">
        <f>VLOOKUP($B19,'[1]Cost Analysis'!$C:$FO,46,FALSE)</f>
        <v>All Electric</v>
      </c>
      <c r="Y19" s="14" t="str">
        <f>VLOOKUP($B19,'[1]Cost Analysis'!$C:$FO,47,FALSE)</f>
        <v>Market Rate</v>
      </c>
      <c r="Z19" s="13" t="str">
        <f>VLOOKUP($B19,'[1]Cost Analysis'!$C:$FO,48,FALSE)</f>
        <v>Yes</v>
      </c>
      <c r="AA19" s="13" t="str">
        <f>VLOOKUP($B19,'[1]Cost Analysis'!$C:$FO,49,FALSE)</f>
        <v>Structural Steel</v>
      </c>
      <c r="AB19" s="13" t="str">
        <f>VLOOKUP($B19,'[1]Cost Analysis'!$C:$FO,50,FALSE)</f>
        <v>VRF - ASHP</v>
      </c>
      <c r="AC19" s="13" t="str">
        <f>VLOOKUP($B19,'[1]Cost Analysis'!$C:$FO,51,FALSE)</f>
        <v>ERV</v>
      </c>
      <c r="AD19" s="13" t="str">
        <f>VLOOKUP($B19,'[1]Cost Analysis'!$C:$FO,52,FALSE)</f>
        <v>ASHP</v>
      </c>
      <c r="AE19" s="13" t="str">
        <f>VLOOKUP($B19,'[1]Cost Analysis'!$C:$FO,53,FALSE)</f>
        <v>Yes</v>
      </c>
      <c r="AF19" s="13" t="str">
        <f>VLOOKUP($B19,'[1]Cost Analysis'!$C:$FO,54,FALSE)</f>
        <v>Mid Rise</v>
      </c>
      <c r="AG19" s="13" t="str">
        <f>IF(VLOOKUP($B19,'[1]Cost Analysis'!$C:$FO,55,FALSE)="PV","Yes","No")</f>
        <v>Yes</v>
      </c>
      <c r="AH19" s="13" t="str">
        <f>VLOOKUP($B19,'[1]Cost Analysis'!$C:$FO,57,FALSE)</f>
        <v>Yes</v>
      </c>
      <c r="AI19" s="13" t="str">
        <f>VLOOKUP($B19,'[1]Cost Analysis'!$C:$FO,58,FALSE)</f>
        <v>No</v>
      </c>
      <c r="AJ19" s="13" t="str">
        <f>VLOOKUP($B19,'[1]Cost Analysis'!$C:$FO,59,FALSE)</f>
        <v>No</v>
      </c>
      <c r="AK19" s="13">
        <f>VLOOKUP($B19,'[1]Cost Analysis'!$C:$FO,60,FALSE)</f>
        <v>4</v>
      </c>
      <c r="AL19" s="13" t="str">
        <f>VLOOKUP($B19,'[1]Cost Analysis'!$C:$FO,61,FALSE)</f>
        <v>No</v>
      </c>
      <c r="AM19" s="13" t="str">
        <f>VLOOKUP($B19,'[1]Cost Analysis'!$C:$FO,62,FALSE)</f>
        <v>NC</v>
      </c>
      <c r="AN19" s="12" t="str">
        <f>VLOOKUP($B19,'[1]Cost Analysis'!$C:$FO,63,FALSE)</f>
        <v>2016 ECCC of NYS</v>
      </c>
      <c r="AO19" s="12" t="str">
        <f>VLOOKUP($B19,'[1]Cost Analysis'!$C:$FO,67,FALSE)</f>
        <v>Yes</v>
      </c>
      <c r="AP19" s="12" t="str">
        <f>VLOOKUP($B19,'[1]Cost Analysis'!$C:$FO,69,FALSE)</f>
        <v>No</v>
      </c>
      <c r="AQ19" s="11">
        <f>VLOOKUP($B19,'[1]Cost Analysis'!$C:$FO,74,FALSE)</f>
        <v>362828</v>
      </c>
      <c r="AR19" s="11">
        <f>VLOOKUP($B19,'[1]Cost Analysis'!$C:$FO,75,FALSE)</f>
        <v>302924</v>
      </c>
      <c r="AS19" s="10">
        <f>IF(ISERROR(VLOOKUP($B19,'[1]Cost Analysis'!$C:$FO,76,FALSE)),"",VLOOKUP($B19,'[1]Cost Analysis'!$C:$FO,76,FALSE))</f>
        <v>0.16510302402240179</v>
      </c>
      <c r="AT19" s="9">
        <f>VLOOKUP($B19,'[1]Cost Analysis'!$C:$FO,78,FALSE)</f>
        <v>2283.23</v>
      </c>
      <c r="AU19" s="9">
        <f>VLOOKUP($B19,'[1]Cost Analysis'!$C:$FO,82,FALSE)</f>
        <v>0.13195573022019302</v>
      </c>
      <c r="AV19" s="8">
        <f>VLOOKUP($B19,'[1]Cost Analysis'!$C:$FO,83,FALSE)</f>
        <v>17.507021903716119</v>
      </c>
      <c r="AW19" s="7">
        <f>IF(VLOOKUP($B19,'[1]Cost Analysis'!$C:$FO,86,FALSE)=0,"",VLOOKUP($B19,'[1]Cost Analysis'!$C:$FO,86,FALSE))</f>
        <v>275000</v>
      </c>
      <c r="AX19" s="7">
        <f>IF(VLOOKUP($B19,'[1]Cost Analysis'!$C:$FO,87,FALSE)=0,"",VLOOKUP($B19,'[1]Cost Analysis'!$C:$FO,87,FALSE))</f>
        <v>1286500</v>
      </c>
      <c r="AY19" s="7">
        <f>IF(VLOOKUP($B19,'[1]Cost Analysis'!$C:$FO,88,FALSE)=0,"",VLOOKUP($B19,'[1]Cost Analysis'!$C:$FO,88,FALSE))</f>
        <v>105000</v>
      </c>
      <c r="AZ19" s="7">
        <f>IF(VLOOKUP($B19,'[1]Cost Analysis'!$C:$FO,89,FALSE)=0,"",VLOOKUP($B19,'[1]Cost Analysis'!$C:$FO,89,FALSE))</f>
        <v>120000</v>
      </c>
      <c r="BA19" s="7">
        <f>IF(VLOOKUP($B19,'[1]Cost Analysis'!$C:$FO,90,FALSE)=0,"",VLOOKUP($B19,'[1]Cost Analysis'!$C:$FO,90,FALSE))</f>
        <v>40000</v>
      </c>
      <c r="BB19" s="7">
        <f>IF(VLOOKUP($B19,'[1]Cost Analysis'!$C:$FO,91,FALSE)=0,"",VLOOKUP($B19,'[1]Cost Analysis'!$C:$FO,91,FALSE))</f>
        <v>80000</v>
      </c>
      <c r="BC19" s="7" t="str">
        <f>IF(VLOOKUP($B19,'[1]Cost Analysis'!$C:$FO,92,FALSE)=0,"",VLOOKUP($B19,'[1]Cost Analysis'!$C:$FO,92,FALSE))</f>
        <v/>
      </c>
      <c r="BD19" s="7" t="str">
        <f>IF(VLOOKUP($B19,'[1]Cost Analysis'!$C:$FO,93,FALSE)=0,"",VLOOKUP($B19,'[1]Cost Analysis'!$C:$FO,93,FALSE))</f>
        <v/>
      </c>
      <c r="BE19" s="7">
        <f>IF(VLOOKUP($B19,'[1]Cost Analysis'!$C:$FO,94,FALSE)=0,"",VLOOKUP($B19,'[1]Cost Analysis'!$C:$FO,94,FALSE))</f>
        <v>186730</v>
      </c>
      <c r="BF19" s="7">
        <f>IF(VLOOKUP($B19,'[1]Cost Analysis'!$C:$FO,95,FALSE)=0,"",VLOOKUP($B19,'[1]Cost Analysis'!$C:$FO,95,FALSE))</f>
        <v>3887850</v>
      </c>
      <c r="BG19" s="7">
        <f>IF(VLOOKUP($B19,'[1]Cost Analysis'!$C:$FO,96,FALSE)=0,"",VLOOKUP($B19,'[1]Cost Analysis'!$C:$FO,96,FALSE))</f>
        <v>5981080</v>
      </c>
      <c r="BH19" s="7" t="str">
        <f>IF(VLOOKUP($B19,'[1]Cost Analysis'!$C:$FO,97,FALSE)=0,"",VLOOKUP($B19,'[1]Cost Analysis'!$C:$FO,97,FALSE))</f>
        <v/>
      </c>
      <c r="BI19" s="7">
        <f>IF(VLOOKUP($B19,'[1]Cost Analysis'!$C:$FO,98,FALSE)=0,"",VLOOKUP($B19,'[1]Cost Analysis'!$C:$FO,98,FALSE))</f>
        <v>-13608</v>
      </c>
      <c r="BJ19" s="7" t="str">
        <f>IF(VLOOKUP($B19,'[1]Cost Analysis'!$C:$FO,99,FALSE)=0,"",VLOOKUP($B19,'[1]Cost Analysis'!$C:$FO,99,FALSE))</f>
        <v/>
      </c>
      <c r="BK19" s="7" t="str">
        <f>IF(VLOOKUP($B19,'[1]Cost Analysis'!$C:$FO,100,FALSE)=0,"",VLOOKUP($B19,'[1]Cost Analysis'!$C:$FO,100,FALSE))</f>
        <v/>
      </c>
      <c r="BL19" s="7" t="str">
        <f>IF(VLOOKUP($B19,'[1]Cost Analysis'!$C:$FO,101,FALSE)=0,"",VLOOKUP($B19,'[1]Cost Analysis'!$C:$FO,101,FALSE))</f>
        <v/>
      </c>
      <c r="BM19" s="7" t="str">
        <f>IF(VLOOKUP($B19,'[1]Cost Analysis'!$C:$FO,102,FALSE)=0,"",VLOOKUP($B19,'[1]Cost Analysis'!$C:$FO,102,FALSE))</f>
        <v/>
      </c>
      <c r="BN19" s="7" t="str">
        <f>IF(VLOOKUP($B19,'[1]Cost Analysis'!$C:$FO,103,FALSE)=0,"",VLOOKUP($B19,'[1]Cost Analysis'!$C:$FO,103,FALSE))</f>
        <v/>
      </c>
      <c r="BO19" s="7">
        <f>IF(VLOOKUP($B19,'[1]Cost Analysis'!$C:$FO,104,FALSE)=0,"",VLOOKUP($B19,'[1]Cost Analysis'!$C:$FO,104,FALSE))</f>
        <v>-13608</v>
      </c>
      <c r="BP19" s="7">
        <f>IF(VLOOKUP($B19,'[1]Cost Analysis'!$C:$FO,105,FALSE)=0,"",VLOOKUP($B19,'[1]Cost Analysis'!$C:$FO,105,FALSE))</f>
        <v>-203082</v>
      </c>
      <c r="BQ19" s="7">
        <f>IF(VLOOKUP($B19,'[1]Cost Analysis'!$C:$FO,106,FALSE)=0,"",VLOOKUP($B19,'[1]Cost Analysis'!$C:$FO,106,FALSE))</f>
        <v>-11156</v>
      </c>
      <c r="BR19" s="7">
        <f>IF(VLOOKUP($B19,'[1]Cost Analysis'!$C:$FO,107,FALSE)=0,"",VLOOKUP($B19,'[1]Cost Analysis'!$C:$FO,107,FALSE))</f>
        <v>-18750</v>
      </c>
      <c r="BS19" s="7" t="str">
        <f>IF(VLOOKUP($B19,'[1]Cost Analysis'!$C:$FO,108,FALSE)=0,"",VLOOKUP($B19,'[1]Cost Analysis'!$C:$FO,108,FALSE))</f>
        <v/>
      </c>
      <c r="BT19" s="7" t="str">
        <f>IF(VLOOKUP($B19,'[1]Cost Analysis'!$C:$FO,109,FALSE)=0,"",VLOOKUP($B19,'[1]Cost Analysis'!$C:$FO,109,FALSE))</f>
        <v/>
      </c>
      <c r="BU19" s="7" t="str">
        <f>IF(VLOOKUP($B19,'[1]Cost Analysis'!$C:$FO,110,FALSE)=0,"",VLOOKUP($B19,'[1]Cost Analysis'!$C:$FO,110,FALSE))</f>
        <v/>
      </c>
      <c r="BV19" s="7">
        <f>IF(VLOOKUP($B19,'[1]Cost Analysis'!$C:$FO,111,FALSE)=0,"",VLOOKUP($B19,'[1]Cost Analysis'!$C:$FO,111,FALSE))</f>
        <v>-29906</v>
      </c>
      <c r="BW19" s="7">
        <f>IF(VLOOKUP($B19,'[1]Cost Analysis'!$C:$FO,112,FALSE)=0,"",VLOOKUP($B19,'[1]Cost Analysis'!$C:$FO,112,FALSE))</f>
        <v>5734484</v>
      </c>
      <c r="BX19" s="7">
        <f>IF(VLOOKUP($B19,'[1]Cost Analysis'!$C:$FO,125,FALSE)=0,"",VLOOKUP($B19,'[1]Cost Analysis'!$C:$FO,125,FALSE))</f>
        <v>250909.09090909088</v>
      </c>
      <c r="BY19" s="7">
        <f>IF(VLOOKUP($B19,'[1]Cost Analysis'!$C:$FO,126,FALSE)=0,"",VLOOKUP($B19,'[1]Cost Analysis'!$C:$FO,126,FALSE))</f>
        <v>1239704.5454545454</v>
      </c>
      <c r="BZ19" s="7">
        <f>IF(VLOOKUP($B19,'[1]Cost Analysis'!$C:$FO,127,FALSE)=0,"",VLOOKUP($B19,'[1]Cost Analysis'!$C:$FO,127,FALSE))</f>
        <v>95454.545454545441</v>
      </c>
      <c r="CA19" s="7">
        <f>IF(VLOOKUP($B19,'[1]Cost Analysis'!$C:$FO,128,FALSE)=0,"",VLOOKUP($B19,'[1]Cost Analysis'!$C:$FO,128,FALSE))</f>
        <v>95000</v>
      </c>
      <c r="CB19" s="7">
        <f>IF(VLOOKUP($B19,'[1]Cost Analysis'!$C:$FO,129,FALSE)=0,"",VLOOKUP($B19,'[1]Cost Analysis'!$C:$FO,129,FALSE))</f>
        <v>50000</v>
      </c>
      <c r="CC19" s="7">
        <f>IF(VLOOKUP($B19,'[1]Cost Analysis'!$C:$FO,130,FALSE)=0,"",VLOOKUP($B19,'[1]Cost Analysis'!$C:$FO,130,FALSE))</f>
        <v>85000</v>
      </c>
      <c r="CD19" s="7" t="str">
        <f>IF(VLOOKUP($B19,'[1]Cost Analysis'!$C:$FO,131,FALSE)=0,"",VLOOKUP($B19,'[1]Cost Analysis'!$C:$FO,131,FALSE))</f>
        <v/>
      </c>
      <c r="CE19" s="7" t="str">
        <f>IF(VLOOKUP($B19,'[1]Cost Analysis'!$C:$FO,132,FALSE)=0,"",VLOOKUP($B19,'[1]Cost Analysis'!$C:$FO,132,FALSE))</f>
        <v/>
      </c>
      <c r="CF19" s="7">
        <f>IF(VLOOKUP($B19,'[1]Cost Analysis'!$C:$FO,133,FALSE)=0,"",VLOOKUP($B19,'[1]Cost Analysis'!$C:$FO,133,FALSE))</f>
        <v>161904.76190476189</v>
      </c>
      <c r="CG19" s="7">
        <f>IF(VLOOKUP($B19,'[1]Cost Analysis'!$C:$FO,134,FALSE)=0,"",VLOOKUP($B19,'[1]Cost Analysis'!$C:$FO,134,FALSE))</f>
        <v>3781850</v>
      </c>
      <c r="CH19" s="7">
        <f>IF(VLOOKUP($B19,'[1]Cost Analysis'!$C:$FO,135,FALSE)=0,"",VLOOKUP($B19,'[1]Cost Analysis'!$C:$FO,135,FALSE))</f>
        <v>5759822.9437229438</v>
      </c>
      <c r="CI19" s="7">
        <f>IF(VLOOKUP($B19,'[1]Cost Analysis'!$C:$FO,136,FALSE)=0,"",VLOOKUP($B19,'[1]Cost Analysis'!$C:$FO,136,FALSE))</f>
        <v>-13608</v>
      </c>
      <c r="CJ19" s="7" t="str">
        <f>IF(VLOOKUP($B19,'[1]Cost Analysis'!$C:$FO,137,FALSE)=0,"",VLOOKUP($B19,'[1]Cost Analysis'!$C:$FO,137,FALSE))</f>
        <v/>
      </c>
      <c r="CK19" s="7">
        <f>IF(VLOOKUP($B19,'[1]Cost Analysis'!$C:$FO,138,FALSE)=0,"",VLOOKUP($B19,'[1]Cost Analysis'!$C:$FO,138,FALSE))</f>
        <v>-29906</v>
      </c>
      <c r="CL19" s="7">
        <f>IF(VLOOKUP($B19,'[1]Cost Analysis'!$C:$FO,139,FALSE)=0,"",VLOOKUP($B19,'[1]Cost Analysis'!$C:$FO,139,FALSE))</f>
        <v>5716309</v>
      </c>
    </row>
    <row r="20" spans="1:90" ht="45" x14ac:dyDescent="0.25">
      <c r="A20" s="13" t="s">
        <v>31</v>
      </c>
      <c r="B20" s="13" t="s">
        <v>40</v>
      </c>
      <c r="C20" s="19" t="str">
        <f>VLOOKUP($B20,'[1]Cost Analysis'!$C:$FO,7,FALSE)</f>
        <v>Milestone 4</v>
      </c>
      <c r="D20" s="19" t="str">
        <f>VLOOKUP($B20,'[1]Cost Analysis'!$C:$FO,8,FALSE)</f>
        <v>Completed within 3 years</v>
      </c>
      <c r="E20" s="18">
        <f>IF(ISERROR(VLOOKUP($B20,'[1]Cost Analysis'!$C:$FO,9,FALSE)),"",VLOOKUP($B20,'[1]Cost Analysis'!$C:$FO,9,FALSE))</f>
        <v>452607.35</v>
      </c>
      <c r="F20" s="17">
        <f>IF(ISERROR(VLOOKUP($B20,'[1]Cost Analysis'!$C:$FO,10,FALSE)),"",VLOOKUP($B20,'[1]Cost Analysis'!$C:$FO,10,FALSE))</f>
        <v>113.94948388721046</v>
      </c>
      <c r="G20" s="9">
        <f>IF(ISERROR(VLOOKUP($B20,'[1]Cost Analysis'!$C:$FO,12,FALSE)),"",VLOOKUP($B20,'[1]Cost Analysis'!$C:$FO,12,FALSE))</f>
        <v>67107.349999999977</v>
      </c>
      <c r="H20" s="17">
        <f>IF(ISERROR(VLOOKUP($B20,'[1]Cost Analysis'!$C:$FO,13,FALSE)),"",VLOOKUP($B20,'[1]Cost Analysis'!$C:$FO,13,FALSE))</f>
        <v>16.8951032225579</v>
      </c>
      <c r="I20" s="16">
        <f>IF(ISERROR(VLOOKUP($B20,'[1]Cost Analysis'!$C:$FO,14,FALSE)),"",VLOOKUP($B20,'[1]Cost Analysis'!$C:$FO,14,FALSE))</f>
        <v>0.14826836108604949</v>
      </c>
      <c r="J20" s="18">
        <f>IF(ISERROR(VLOOKUP($B20,'[1]Cost Analysis'!$C:$FO,15,FALSE)),"",VLOOKUP($B20,'[1]Cost Analysis'!$C:$FO,15,FALSE))</f>
        <v>66322</v>
      </c>
      <c r="K20" s="16">
        <f>IF(ISERROR(VLOOKUP($B20,'[1]Cost Analysis'!$C:$FO,16,FALSE)),"",VLOOKUP($B20,'[1]Cost Analysis'!$C:$FO,16,FALSE))</f>
        <v>0.14653319262270045</v>
      </c>
      <c r="L20" s="17">
        <f>IF(ISERROR(VLOOKUP($B20,'[1]Cost Analysis'!$C:$FO,17,FALSE)),"",VLOOKUP($B20,'[1]Cost Analysis'!$C:$FO,17,FALSE))</f>
        <v>785.34999999997672</v>
      </c>
      <c r="M20" s="17">
        <f>IF(ISERROR(VLOOKUP($B20,'[1]Cost Analysis'!$C:$FO,18,FALSE)),"",VLOOKUP($B20,'[1]Cost Analysis'!$C:$FO,18,FALSE))</f>
        <v>0.2316687059729759</v>
      </c>
      <c r="N20" s="16">
        <f>IF(ISERROR(VLOOKUP($B20,'[1]Cost Analysis'!$C:$FO,19,FALSE)),"",VLOOKUP($B20,'[1]Cost Analysis'!$C:$FO,19,FALSE))</f>
        <v>2.0330825385947893E-3</v>
      </c>
      <c r="O20" s="11">
        <f>IF(ISERROR(VLOOKUP($B20,'[1]Cost Analysis'!$C:$FO,36,FALSE)),"",VLOOKUP($B20,'[1]Cost Analysis'!$C:$FO,36,FALSE))</f>
        <v>162212</v>
      </c>
      <c r="P20" s="13" t="str">
        <f>IF(ISERROR(VLOOKUP($B20,'[1]Cost Analysis'!$C:$FO,37,FALSE)),"",VLOOKUP($B20,'[1]Cost Analysis'!$C:$FO,37,FALSE))</f>
        <v>Onsite Solar electric (PV) Owned
and
Remote Solar electric (PV) Owned</v>
      </c>
      <c r="Q20" s="11">
        <f>VLOOKUP($B20,'[1]Cost Analysis'!$C:$FO,39,FALSE)</f>
        <v>3972</v>
      </c>
      <c r="R20" s="11">
        <f>VLOOKUP($B20,'[1]Cost Analysis'!$C:$FO,40,FALSE)</f>
        <v>3972</v>
      </c>
      <c r="S20" s="13">
        <f>VLOOKUP($B20,'[1]Cost Analysis'!$C:$FO,41,FALSE)</f>
        <v>1</v>
      </c>
      <c r="T20" s="13">
        <f>VLOOKUP($B20,'[1]Cost Analysis'!$C:$FO,42,FALSE)</f>
        <v>3</v>
      </c>
      <c r="U20" s="13">
        <f>VLOOKUP($B20,'[1]Cost Analysis'!$C:$FO,43,FALSE)</f>
        <v>3</v>
      </c>
      <c r="V20" s="13" t="str">
        <f>VLOOKUP($B20,'[1]Cost Analysis'!$C:$FO,44,FALSE)</f>
        <v>Phius</v>
      </c>
      <c r="W20" s="13" t="str">
        <f>VLOOKUP($B20,'[1]Cost Analysis'!$C:$FO,45,FALSE)</f>
        <v>Mid Hudson</v>
      </c>
      <c r="X20" s="15" t="str">
        <f>VLOOKUP($B20,'[1]Cost Analysis'!$C:$FO,46,FALSE)</f>
        <v>All Electric</v>
      </c>
      <c r="Y20" s="14" t="str">
        <f>VLOOKUP($B20,'[1]Cost Analysis'!$C:$FO,47,FALSE)</f>
        <v>LMI</v>
      </c>
      <c r="Z20" s="13" t="str">
        <f>VLOOKUP($B20,'[1]Cost Analysis'!$C:$FO,48,FALSE)</f>
        <v>Yes</v>
      </c>
      <c r="AA20" s="13" t="str">
        <f>VLOOKUP($B20,'[1]Cost Analysis'!$C:$FO,49,FALSE)</f>
        <v>Gut Rehab</v>
      </c>
      <c r="AB20" s="13" t="str">
        <f>VLOOKUP($B20,'[1]Cost Analysis'!$C:$FO,50,FALSE)</f>
        <v>Minisplit - ASHP</v>
      </c>
      <c r="AC20" s="13" t="str">
        <f>VLOOKUP($B20,'[1]Cost Analysis'!$C:$FO,51,FALSE)</f>
        <v>ERV</v>
      </c>
      <c r="AD20" s="13" t="str">
        <f>VLOOKUP($B20,'[1]Cost Analysis'!$C:$FO,52,FALSE)</f>
        <v>ASHP</v>
      </c>
      <c r="AE20" s="13" t="str">
        <f>VLOOKUP($B20,'[1]Cost Analysis'!$C:$FO,53,FALSE)</f>
        <v>Yes</v>
      </c>
      <c r="AF20" s="13" t="str">
        <f>VLOOKUP($B20,'[1]Cost Analysis'!$C:$FO,54,FALSE)</f>
        <v>Low Rise</v>
      </c>
      <c r="AG20" s="13" t="str">
        <f>IF(VLOOKUP($B20,'[1]Cost Analysis'!$C:$FO,55,FALSE)="PV","Yes","No")</f>
        <v>Yes</v>
      </c>
      <c r="AH20" s="13" t="str">
        <f>VLOOKUP($B20,'[1]Cost Analysis'!$C:$FO,57,FALSE)</f>
        <v>No</v>
      </c>
      <c r="AI20" s="13" t="str">
        <f>VLOOKUP($B20,'[1]Cost Analysis'!$C:$FO,58,FALSE)</f>
        <v>No</v>
      </c>
      <c r="AJ20" s="13" t="str">
        <f>VLOOKUP($B20,'[1]Cost Analysis'!$C:$FO,59,FALSE)</f>
        <v>No</v>
      </c>
      <c r="AK20" s="13">
        <f>VLOOKUP($B20,'[1]Cost Analysis'!$C:$FO,60,FALSE)</f>
        <v>5</v>
      </c>
      <c r="AL20" s="13" t="str">
        <f>VLOOKUP($B20,'[1]Cost Analysis'!$C:$FO,61,FALSE)</f>
        <v>No</v>
      </c>
      <c r="AM20" s="13" t="str">
        <f>VLOOKUP($B20,'[1]Cost Analysis'!$C:$FO,62,FALSE)</f>
        <v>GR</v>
      </c>
      <c r="AN20" s="12" t="str">
        <f>VLOOKUP($B20,'[1]Cost Analysis'!$C:$FO,63,FALSE)</f>
        <v>2019 ECCC of NYS 2020 (expected)</v>
      </c>
      <c r="AO20" s="12" t="str">
        <f>VLOOKUP($B20,'[1]Cost Analysis'!$C:$FO,67,FALSE)</f>
        <v>No</v>
      </c>
      <c r="AP20" s="12" t="str">
        <f>VLOOKUP($B20,'[1]Cost Analysis'!$C:$FO,69,FALSE)</f>
        <v>No</v>
      </c>
      <c r="AQ20" s="11">
        <f>VLOOKUP($B20,'[1]Cost Analysis'!$C:$FO,74,FALSE)</f>
        <v>162212</v>
      </c>
      <c r="AR20" s="11">
        <f>VLOOKUP($B20,'[1]Cost Analysis'!$C:$FO,75,FALSE)</f>
        <v>0</v>
      </c>
      <c r="AS20" s="10">
        <f>IF(ISERROR(VLOOKUP($B20,'[1]Cost Analysis'!$C:$FO,76,FALSE)),"",VLOOKUP($B20,'[1]Cost Analysis'!$C:$FO,76,FALSE))</f>
        <v>1</v>
      </c>
      <c r="AT20" s="9">
        <f>VLOOKUP($B20,'[1]Cost Analysis'!$C:$FO,78,FALSE)</f>
        <v>288</v>
      </c>
      <c r="AU20" s="9">
        <f>VLOOKUP($B20,'[1]Cost Analysis'!$C:$FO,82,FALSE)</f>
        <v>7.2507552870090641E-2</v>
      </c>
      <c r="AV20" s="8">
        <f>VLOOKUP($B20,'[1]Cost Analysis'!$C:$FO,83,FALSE)</f>
        <v>0</v>
      </c>
      <c r="AW20" s="7">
        <f>IF(VLOOKUP($B20,'[1]Cost Analysis'!$C:$FO,86,FALSE)=0,"",VLOOKUP($B20,'[1]Cost Analysis'!$C:$FO,86,FALSE))</f>
        <v>8539.65</v>
      </c>
      <c r="AX20" s="7">
        <f>IF(VLOOKUP($B20,'[1]Cost Analysis'!$C:$FO,87,FALSE)=0,"",VLOOKUP($B20,'[1]Cost Analysis'!$C:$FO,87,FALSE))</f>
        <v>96977.91</v>
      </c>
      <c r="AY20" s="7">
        <f>IF(VLOOKUP($B20,'[1]Cost Analysis'!$C:$FO,88,FALSE)=0,"",VLOOKUP($B20,'[1]Cost Analysis'!$C:$FO,88,FALSE))</f>
        <v>5400</v>
      </c>
      <c r="AZ20" s="7">
        <f>IF(VLOOKUP($B20,'[1]Cost Analysis'!$C:$FO,89,FALSE)=0,"",VLOOKUP($B20,'[1]Cost Analysis'!$C:$FO,89,FALSE))</f>
        <v>7000</v>
      </c>
      <c r="BA20" s="7">
        <f>IF(VLOOKUP($B20,'[1]Cost Analysis'!$C:$FO,90,FALSE)=0,"",VLOOKUP($B20,'[1]Cost Analysis'!$C:$FO,90,FALSE))</f>
        <v>27815</v>
      </c>
      <c r="BB20" s="7">
        <f>IF(VLOOKUP($B20,'[1]Cost Analysis'!$C:$FO,91,FALSE)=0,"",VLOOKUP($B20,'[1]Cost Analysis'!$C:$FO,91,FALSE))</f>
        <v>2147.13</v>
      </c>
      <c r="BC20" s="7">
        <f>IF(VLOOKUP($B20,'[1]Cost Analysis'!$C:$FO,92,FALSE)=0,"",VLOOKUP($B20,'[1]Cost Analysis'!$C:$FO,92,FALSE))</f>
        <v>2300</v>
      </c>
      <c r="BD20" s="7">
        <f>IF(VLOOKUP($B20,'[1]Cost Analysis'!$C:$FO,93,FALSE)=0,"",VLOOKUP($B20,'[1]Cost Analysis'!$C:$FO,93,FALSE))</f>
        <v>7650</v>
      </c>
      <c r="BE20" s="7">
        <f>IF(VLOOKUP($B20,'[1]Cost Analysis'!$C:$FO,94,FALSE)=0,"",VLOOKUP($B20,'[1]Cost Analysis'!$C:$FO,94,FALSE))</f>
        <v>5000</v>
      </c>
      <c r="BF20" s="7">
        <f>IF(VLOOKUP($B20,'[1]Cost Analysis'!$C:$FO,95,FALSE)=0,"",VLOOKUP($B20,'[1]Cost Analysis'!$C:$FO,95,FALSE))</f>
        <v>289777.65999999997</v>
      </c>
      <c r="BG20" s="7">
        <f>IF(VLOOKUP($B20,'[1]Cost Analysis'!$C:$FO,96,FALSE)=0,"",VLOOKUP($B20,'[1]Cost Analysis'!$C:$FO,96,FALSE))</f>
        <v>452607.35</v>
      </c>
      <c r="BH20" s="7">
        <f>IF(VLOOKUP($B20,'[1]Cost Analysis'!$C:$FO,97,FALSE)=0,"",VLOOKUP($B20,'[1]Cost Analysis'!$C:$FO,97,FALSE))</f>
        <v>-12600</v>
      </c>
      <c r="BI20" s="7" t="str">
        <f>IF(VLOOKUP($B20,'[1]Cost Analysis'!$C:$FO,98,FALSE)=0,"",VLOOKUP($B20,'[1]Cost Analysis'!$C:$FO,98,FALSE))</f>
        <v/>
      </c>
      <c r="BJ20" s="7" t="str">
        <f>IF(VLOOKUP($B20,'[1]Cost Analysis'!$C:$FO,99,FALSE)=0,"",VLOOKUP($B20,'[1]Cost Analysis'!$C:$FO,99,FALSE))</f>
        <v/>
      </c>
      <c r="BK20" s="7" t="str">
        <f>IF(VLOOKUP($B20,'[1]Cost Analysis'!$C:$FO,100,FALSE)=0,"",VLOOKUP($B20,'[1]Cost Analysis'!$C:$FO,100,FALSE))</f>
        <v/>
      </c>
      <c r="BL20" s="7" t="str">
        <f>IF(VLOOKUP($B20,'[1]Cost Analysis'!$C:$FO,101,FALSE)=0,"",VLOOKUP($B20,'[1]Cost Analysis'!$C:$FO,101,FALSE))</f>
        <v/>
      </c>
      <c r="BM20" s="7" t="str">
        <f>IF(VLOOKUP($B20,'[1]Cost Analysis'!$C:$FO,102,FALSE)=0,"",VLOOKUP($B20,'[1]Cost Analysis'!$C:$FO,102,FALSE))</f>
        <v/>
      </c>
      <c r="BN20" s="7" t="str">
        <f>IF(VLOOKUP($B20,'[1]Cost Analysis'!$C:$FO,103,FALSE)=0,"",VLOOKUP($B20,'[1]Cost Analysis'!$C:$FO,103,FALSE))</f>
        <v/>
      </c>
      <c r="BO20" s="7">
        <f>IF(VLOOKUP($B20,'[1]Cost Analysis'!$C:$FO,104,FALSE)=0,"",VLOOKUP($B20,'[1]Cost Analysis'!$C:$FO,104,FALSE))</f>
        <v>-12600</v>
      </c>
      <c r="BP20" s="7">
        <f>IF(VLOOKUP($B20,'[1]Cost Analysis'!$C:$FO,105,FALSE)=0,"",VLOOKUP($B20,'[1]Cost Analysis'!$C:$FO,105,FALSE))</f>
        <v>-39467</v>
      </c>
      <c r="BQ20" s="7" t="str">
        <f>IF(VLOOKUP($B20,'[1]Cost Analysis'!$C:$FO,106,FALSE)=0,"",VLOOKUP($B20,'[1]Cost Analysis'!$C:$FO,106,FALSE))</f>
        <v/>
      </c>
      <c r="BR20" s="7">
        <f>IF(VLOOKUP($B20,'[1]Cost Analysis'!$C:$FO,107,FALSE)=0,"",VLOOKUP($B20,'[1]Cost Analysis'!$C:$FO,107,FALSE))</f>
        <v>-14255</v>
      </c>
      <c r="BS20" s="7" t="str">
        <f>IF(VLOOKUP($B20,'[1]Cost Analysis'!$C:$FO,108,FALSE)=0,"",VLOOKUP($B20,'[1]Cost Analysis'!$C:$FO,108,FALSE))</f>
        <v/>
      </c>
      <c r="BT20" s="7" t="str">
        <f>IF(VLOOKUP($B20,'[1]Cost Analysis'!$C:$FO,109,FALSE)=0,"",VLOOKUP($B20,'[1]Cost Analysis'!$C:$FO,109,FALSE))</f>
        <v/>
      </c>
      <c r="BU20" s="7" t="str">
        <f>IF(VLOOKUP($B20,'[1]Cost Analysis'!$C:$FO,110,FALSE)=0,"",VLOOKUP($B20,'[1]Cost Analysis'!$C:$FO,110,FALSE))</f>
        <v/>
      </c>
      <c r="BV20" s="7">
        <f>IF(VLOOKUP($B20,'[1]Cost Analysis'!$C:$FO,111,FALSE)=0,"",VLOOKUP($B20,'[1]Cost Analysis'!$C:$FO,111,FALSE))</f>
        <v>-14255</v>
      </c>
      <c r="BW20" s="7">
        <f>IF(VLOOKUP($B20,'[1]Cost Analysis'!$C:$FO,112,FALSE)=0,"",VLOOKUP($B20,'[1]Cost Analysis'!$C:$FO,112,FALSE))</f>
        <v>386285.35</v>
      </c>
      <c r="BX20" s="7">
        <f>IF(VLOOKUP($B20,'[1]Cost Analysis'!$C:$FO,125,FALSE)=0,"",VLOOKUP($B20,'[1]Cost Analysis'!$C:$FO,125,FALSE))</f>
        <v>10000</v>
      </c>
      <c r="BY20" s="7">
        <f>IF(VLOOKUP($B20,'[1]Cost Analysis'!$C:$FO,126,FALSE)=0,"",VLOOKUP($B20,'[1]Cost Analysis'!$C:$FO,126,FALSE))</f>
        <v>85000</v>
      </c>
      <c r="BZ20" s="7">
        <f>IF(VLOOKUP($B20,'[1]Cost Analysis'!$C:$FO,127,FALSE)=0,"",VLOOKUP($B20,'[1]Cost Analysis'!$C:$FO,127,FALSE))</f>
        <v>5000</v>
      </c>
      <c r="CA20" s="7">
        <f>IF(VLOOKUP($B20,'[1]Cost Analysis'!$C:$FO,128,FALSE)=0,"",VLOOKUP($B20,'[1]Cost Analysis'!$C:$FO,128,FALSE))</f>
        <v>6000</v>
      </c>
      <c r="CB20" s="7">
        <f>IF(VLOOKUP($B20,'[1]Cost Analysis'!$C:$FO,129,FALSE)=0,"",VLOOKUP($B20,'[1]Cost Analysis'!$C:$FO,129,FALSE))</f>
        <v>28000</v>
      </c>
      <c r="CC20" s="7">
        <f>IF(VLOOKUP($B20,'[1]Cost Analysis'!$C:$FO,130,FALSE)=0,"",VLOOKUP($B20,'[1]Cost Analysis'!$C:$FO,130,FALSE))</f>
        <v>2000</v>
      </c>
      <c r="CD20" s="7">
        <f>IF(VLOOKUP($B20,'[1]Cost Analysis'!$C:$FO,131,FALSE)=0,"",VLOOKUP($B20,'[1]Cost Analysis'!$C:$FO,131,FALSE))</f>
        <v>2000</v>
      </c>
      <c r="CE20" s="7">
        <f>IF(VLOOKUP($B20,'[1]Cost Analysis'!$C:$FO,132,FALSE)=0,"",VLOOKUP($B20,'[1]Cost Analysis'!$C:$FO,132,FALSE))</f>
        <v>7500</v>
      </c>
      <c r="CF20" s="7">
        <f>IF(VLOOKUP($B20,'[1]Cost Analysis'!$C:$FO,133,FALSE)=0,"",VLOOKUP($B20,'[1]Cost Analysis'!$C:$FO,133,FALSE))</f>
        <v>5000</v>
      </c>
      <c r="CG20" s="7">
        <f>IF(VLOOKUP($B20,'[1]Cost Analysis'!$C:$FO,134,FALSE)=0,"",VLOOKUP($B20,'[1]Cost Analysis'!$C:$FO,134,FALSE))</f>
        <v>235000</v>
      </c>
      <c r="CH20" s="7">
        <f>IF(VLOOKUP($B20,'[1]Cost Analysis'!$C:$FO,135,FALSE)=0,"",VLOOKUP($B20,'[1]Cost Analysis'!$C:$FO,135,FALSE))</f>
        <v>385500</v>
      </c>
      <c r="CI20" s="7" t="str">
        <f>IF(VLOOKUP($B20,'[1]Cost Analysis'!$C:$FO,136,FALSE)=0,"",VLOOKUP($B20,'[1]Cost Analysis'!$C:$FO,136,FALSE))</f>
        <v/>
      </c>
      <c r="CJ20" s="7" t="str">
        <f>IF(VLOOKUP($B20,'[1]Cost Analysis'!$C:$FO,137,FALSE)=0,"",VLOOKUP($B20,'[1]Cost Analysis'!$C:$FO,137,FALSE))</f>
        <v/>
      </c>
      <c r="CK20" s="7" t="str">
        <f>IF(VLOOKUP($B20,'[1]Cost Analysis'!$C:$FO,138,FALSE)=0,"",VLOOKUP($B20,'[1]Cost Analysis'!$C:$FO,138,FALSE))</f>
        <v/>
      </c>
      <c r="CL20" s="7">
        <f>IF(VLOOKUP($B20,'[1]Cost Analysis'!$C:$FO,139,FALSE)=0,"",VLOOKUP($B20,'[1]Cost Analysis'!$C:$FO,139,FALSE))</f>
        <v>385500</v>
      </c>
    </row>
    <row r="21" spans="1:90" ht="30" x14ac:dyDescent="0.25">
      <c r="A21" s="13" t="s">
        <v>31</v>
      </c>
      <c r="B21" s="13" t="s">
        <v>39</v>
      </c>
      <c r="C21" s="19" t="str">
        <f>VLOOKUP($B21,'[1]Cost Analysis'!$C:$FO,7,FALSE)</f>
        <v>Milestone 3</v>
      </c>
      <c r="D21" s="19" t="str">
        <f>VLOOKUP($B21,'[1]Cost Analysis'!$C:$FO,8,FALSE)</f>
        <v>Completed within 3 years</v>
      </c>
      <c r="E21" s="18">
        <f>IF(ISERROR(VLOOKUP($B21,'[1]Cost Analysis'!$C:$FO,9,FALSE)),"",VLOOKUP($B21,'[1]Cost Analysis'!$C:$FO,9,FALSE))</f>
        <v>47623777.640000001</v>
      </c>
      <c r="F21" s="17">
        <f>IF(ISERROR(VLOOKUP($B21,'[1]Cost Analysis'!$C:$FO,10,FALSE)),"",VLOOKUP($B21,'[1]Cost Analysis'!$C:$FO,10,FALSE))</f>
        <v>290.84466291688807</v>
      </c>
      <c r="G21" s="9">
        <f>IF(ISERROR(VLOOKUP($B21,'[1]Cost Analysis'!$C:$FO,12,FALSE)),"",VLOOKUP($B21,'[1]Cost Analysis'!$C:$FO,12,FALSE))</f>
        <v>3329736.3100000024</v>
      </c>
      <c r="H21" s="17">
        <f>IF(ISERROR(VLOOKUP($B21,'[1]Cost Analysis'!$C:$FO,13,FALSE)),"",VLOOKUP($B21,'[1]Cost Analysis'!$C:$FO,13,FALSE))</f>
        <v>20.335136830276728</v>
      </c>
      <c r="I21" s="16">
        <f>IF(ISERROR(VLOOKUP($B21,'[1]Cost Analysis'!$C:$FO,14,FALSE)),"",VLOOKUP($B21,'[1]Cost Analysis'!$C:$FO,14,FALSE))</f>
        <v>6.9917517572215898E-2</v>
      </c>
      <c r="J21" s="18">
        <f>IF(ISERROR(VLOOKUP($B21,'[1]Cost Analysis'!$C:$FO,15,FALSE)),"",VLOOKUP($B21,'[1]Cost Analysis'!$C:$FO,15,FALSE))</f>
        <v>541000</v>
      </c>
      <c r="K21" s="16">
        <f>IF(ISERROR(VLOOKUP($B21,'[1]Cost Analysis'!$C:$FO,16,FALSE)),"",VLOOKUP($B21,'[1]Cost Analysis'!$C:$FO,16,FALSE))</f>
        <v>1.1359871618953746E-2</v>
      </c>
      <c r="L21" s="17">
        <f>IF(ISERROR(VLOOKUP($B21,'[1]Cost Analysis'!$C:$FO,17,FALSE)),"",VLOOKUP($B21,'[1]Cost Analysis'!$C:$FO,17,FALSE))</f>
        <v>2788736.3100000024</v>
      </c>
      <c r="M21" s="17">
        <f>IF(ISERROR(VLOOKUP($B21,'[1]Cost Analysis'!$C:$FO,18,FALSE)),"",VLOOKUP($B21,'[1]Cost Analysis'!$C:$FO,18,FALSE))</f>
        <v>17.226873874088561</v>
      </c>
      <c r="N21" s="16">
        <f>IF(ISERROR(VLOOKUP($B21,'[1]Cost Analysis'!$C:$FO,19,FALSE)),"",VLOOKUP($B21,'[1]Cost Analysis'!$C:$FO,19,FALSE))</f>
        <v>5.9230496792754696E-2</v>
      </c>
      <c r="O21" s="11">
        <f>IF(ISERROR(VLOOKUP($B21,'[1]Cost Analysis'!$C:$FO,36,FALSE)),"",VLOOKUP($B21,'[1]Cost Analysis'!$C:$FO,36,FALSE))</f>
        <v>399210</v>
      </c>
      <c r="P21" s="13" t="str">
        <f>IF(ISERROR(VLOOKUP($B21,'[1]Cost Analysis'!$C:$FO,37,FALSE)),"",VLOOKUP($B21,'[1]Cost Analysis'!$C:$FO,37,FALSE))</f>
        <v>Onsite Solar electric (PV) Owned</v>
      </c>
      <c r="Q21" s="11">
        <f>VLOOKUP($B21,'[1]Cost Analysis'!$C:$FO,39,FALSE)</f>
        <v>163743</v>
      </c>
      <c r="R21" s="11">
        <f>VLOOKUP($B21,'[1]Cost Analysis'!$C:$FO,40,FALSE)</f>
        <v>159146</v>
      </c>
      <c r="S21" s="13">
        <f>VLOOKUP($B21,'[1]Cost Analysis'!$C:$FO,41,FALSE)</f>
        <v>1</v>
      </c>
      <c r="T21" s="13">
        <f>VLOOKUP($B21,'[1]Cost Analysis'!$C:$FO,42,FALSE)</f>
        <v>15</v>
      </c>
      <c r="U21" s="13">
        <f>VLOOKUP($B21,'[1]Cost Analysis'!$C:$FO,43,FALSE)</f>
        <v>154</v>
      </c>
      <c r="V21" s="13" t="str">
        <f>VLOOKUP($B21,'[1]Cost Analysis'!$C:$FO,44,FALSE)</f>
        <v>Phius</v>
      </c>
      <c r="W21" s="13" t="str">
        <f>VLOOKUP($B21,'[1]Cost Analysis'!$C:$FO,45,FALSE)</f>
        <v>NYC</v>
      </c>
      <c r="X21" s="15" t="str">
        <f>VLOOKUP($B21,'[1]Cost Analysis'!$C:$FO,46,FALSE)</f>
        <v>Fossil Fuels</v>
      </c>
      <c r="Y21" s="14" t="str">
        <f>VLOOKUP($B21,'[1]Cost Analysis'!$C:$FO,47,FALSE)</f>
        <v>LMI</v>
      </c>
      <c r="Z21" s="13" t="str">
        <f>VLOOKUP($B21,'[1]Cost Analysis'!$C:$FO,48,FALSE)</f>
        <v>Yes</v>
      </c>
      <c r="AA21" s="13" t="str">
        <f>VLOOKUP($B21,'[1]Cost Analysis'!$C:$FO,49,FALSE)</f>
        <v>Cast in Place Concrete</v>
      </c>
      <c r="AB21" s="13" t="str">
        <f>VLOOKUP($B21,'[1]Cost Analysis'!$C:$FO,50,FALSE)</f>
        <v>VRF - ASHP</v>
      </c>
      <c r="AC21" s="13" t="str">
        <f>VLOOKUP($B21,'[1]Cost Analysis'!$C:$FO,51,FALSE)</f>
        <v>ERV</v>
      </c>
      <c r="AD21" s="13" t="str">
        <f>VLOOKUP($B21,'[1]Cost Analysis'!$C:$FO,52,FALSE)</f>
        <v>Fossil Fuel</v>
      </c>
      <c r="AE21" s="13" t="str">
        <f>VLOOKUP($B21,'[1]Cost Analysis'!$C:$FO,53,FALSE)</f>
        <v>Yes</v>
      </c>
      <c r="AF21" s="13" t="str">
        <f>VLOOKUP($B21,'[1]Cost Analysis'!$C:$FO,54,FALSE)</f>
        <v>Mid Rise</v>
      </c>
      <c r="AG21" s="13" t="str">
        <f>IF(VLOOKUP($B21,'[1]Cost Analysis'!$C:$FO,55,FALSE)="PV","Yes","No")</f>
        <v>Yes</v>
      </c>
      <c r="AH21" s="13" t="str">
        <f>VLOOKUP($B21,'[1]Cost Analysis'!$C:$FO,57,FALSE)</f>
        <v>No</v>
      </c>
      <c r="AI21" s="13" t="str">
        <f>VLOOKUP($B21,'[1]Cost Analysis'!$C:$FO,58,FALSE)</f>
        <v>No</v>
      </c>
      <c r="AJ21" s="13" t="str">
        <f>VLOOKUP($B21,'[1]Cost Analysis'!$C:$FO,59,FALSE)</f>
        <v>No</v>
      </c>
      <c r="AK21" s="13">
        <f>VLOOKUP($B21,'[1]Cost Analysis'!$C:$FO,60,FALSE)</f>
        <v>4</v>
      </c>
      <c r="AL21" s="13" t="str">
        <f>VLOOKUP($B21,'[1]Cost Analysis'!$C:$FO,61,FALSE)</f>
        <v>Yes</v>
      </c>
      <c r="AM21" s="13" t="str">
        <f>VLOOKUP($B21,'[1]Cost Analysis'!$C:$FO,62,FALSE)</f>
        <v>NC</v>
      </c>
      <c r="AN21" s="12" t="str">
        <f>VLOOKUP($B21,'[1]Cost Analysis'!$C:$FO,63,FALSE)</f>
        <v>2014 ECCC of NYS</v>
      </c>
      <c r="AO21" s="12" t="str">
        <f>VLOOKUP($B21,'[1]Cost Analysis'!$C:$FO,67,FALSE)</f>
        <v>Yes</v>
      </c>
      <c r="AP21" s="12" t="str">
        <f>VLOOKUP($B21,'[1]Cost Analysis'!$C:$FO,69,FALSE)</f>
        <v>Yes</v>
      </c>
      <c r="AQ21" s="11">
        <f>VLOOKUP($B21,'[1]Cost Analysis'!$C:$FO,74,FALSE)</f>
        <v>7223793</v>
      </c>
      <c r="AR21" s="11">
        <f>VLOOKUP($B21,'[1]Cost Analysis'!$C:$FO,75,FALSE)</f>
        <v>6824583</v>
      </c>
      <c r="AS21" s="10">
        <f>IF(ISERROR(VLOOKUP($B21,'[1]Cost Analysis'!$C:$FO,76,FALSE)),"",VLOOKUP($B21,'[1]Cost Analysis'!$C:$FO,76,FALSE))</f>
        <v>5.5263211445842925E-2</v>
      </c>
      <c r="AT21" s="9">
        <f>VLOOKUP($B21,'[1]Cost Analysis'!$C:$FO,78,FALSE)</f>
        <v>268095.03000000003</v>
      </c>
      <c r="AU21" s="9">
        <f>VLOOKUP($B21,'[1]Cost Analysis'!$C:$FO,82,FALSE)</f>
        <v>1.684585412137283</v>
      </c>
      <c r="AV21" s="8">
        <f>VLOOKUP($B21,'[1]Cost Analysis'!$C:$FO,83,FALSE)</f>
        <v>41.678624429746613</v>
      </c>
      <c r="AW21" s="7">
        <f>IF(VLOOKUP($B21,'[1]Cost Analysis'!$C:$FO,86,FALSE)=0,"",VLOOKUP($B21,'[1]Cost Analysis'!$C:$FO,86,FALSE))</f>
        <v>3770484.94</v>
      </c>
      <c r="AX21" s="7">
        <f>IF(VLOOKUP($B21,'[1]Cost Analysis'!$C:$FO,87,FALSE)=0,"",VLOOKUP($B21,'[1]Cost Analysis'!$C:$FO,87,FALSE))</f>
        <v>4079691.16</v>
      </c>
      <c r="AY21" s="7">
        <f>IF(VLOOKUP($B21,'[1]Cost Analysis'!$C:$FO,88,FALSE)=0,"",VLOOKUP($B21,'[1]Cost Analysis'!$C:$FO,88,FALSE))</f>
        <v>3048214.42</v>
      </c>
      <c r="AZ21" s="7">
        <f>IF(VLOOKUP($B21,'[1]Cost Analysis'!$C:$FO,89,FALSE)=0,"",VLOOKUP($B21,'[1]Cost Analysis'!$C:$FO,89,FALSE))</f>
        <v>63526</v>
      </c>
      <c r="BA21" s="7">
        <f>IF(VLOOKUP($B21,'[1]Cost Analysis'!$C:$FO,90,FALSE)=0,"",VLOOKUP($B21,'[1]Cost Analysis'!$C:$FO,90,FALSE))</f>
        <v>682830</v>
      </c>
      <c r="BB21" s="7">
        <f>IF(VLOOKUP($B21,'[1]Cost Analysis'!$C:$FO,91,FALSE)=0,"",VLOOKUP($B21,'[1]Cost Analysis'!$C:$FO,91,FALSE))</f>
        <v>141119.70000000001</v>
      </c>
      <c r="BC21" s="7">
        <f>IF(VLOOKUP($B21,'[1]Cost Analysis'!$C:$FO,92,FALSE)=0,"",VLOOKUP($B21,'[1]Cost Analysis'!$C:$FO,92,FALSE))</f>
        <v>365000</v>
      </c>
      <c r="BD21" s="7">
        <f>IF(VLOOKUP($B21,'[1]Cost Analysis'!$C:$FO,93,FALSE)=0,"",VLOOKUP($B21,'[1]Cost Analysis'!$C:$FO,93,FALSE))</f>
        <v>73675</v>
      </c>
      <c r="BE21" s="7" t="str">
        <f>IF(VLOOKUP($B21,'[1]Cost Analysis'!$C:$FO,94,FALSE)=0,"",VLOOKUP($B21,'[1]Cost Analysis'!$C:$FO,94,FALSE))</f>
        <v/>
      </c>
      <c r="BF21" s="7">
        <f>IF(VLOOKUP($B21,'[1]Cost Analysis'!$C:$FO,95,FALSE)=0,"",VLOOKUP($B21,'[1]Cost Analysis'!$C:$FO,95,FALSE))</f>
        <v>35399236.420000002</v>
      </c>
      <c r="BG21" s="7">
        <f>IF(VLOOKUP($B21,'[1]Cost Analysis'!$C:$FO,96,FALSE)=0,"",VLOOKUP($B21,'[1]Cost Analysis'!$C:$FO,96,FALSE))</f>
        <v>47623777.640000001</v>
      </c>
      <c r="BH21" s="7">
        <f>IF(VLOOKUP($B21,'[1]Cost Analysis'!$C:$FO,97,FALSE)=0,"",VLOOKUP($B21,'[1]Cost Analysis'!$C:$FO,97,FALSE))</f>
        <v>-138600</v>
      </c>
      <c r="BI21" s="7" t="str">
        <f>IF(VLOOKUP($B21,'[1]Cost Analysis'!$C:$FO,98,FALSE)=0,"",VLOOKUP($B21,'[1]Cost Analysis'!$C:$FO,98,FALSE))</f>
        <v/>
      </c>
      <c r="BJ21" s="7">
        <f>IF(VLOOKUP($B21,'[1]Cost Analysis'!$C:$FO,99,FALSE)=0,"",VLOOKUP($B21,'[1]Cost Analysis'!$C:$FO,99,FALSE))</f>
        <v>-132000</v>
      </c>
      <c r="BK21" s="7" t="str">
        <f>IF(VLOOKUP($B21,'[1]Cost Analysis'!$C:$FO,100,FALSE)=0,"",VLOOKUP($B21,'[1]Cost Analysis'!$C:$FO,100,FALSE))</f>
        <v/>
      </c>
      <c r="BL21" s="7" t="str">
        <f>IF(VLOOKUP($B21,'[1]Cost Analysis'!$C:$FO,101,FALSE)=0,"",VLOOKUP($B21,'[1]Cost Analysis'!$C:$FO,101,FALSE))</f>
        <v/>
      </c>
      <c r="BM21" s="7" t="str">
        <f>IF(VLOOKUP($B21,'[1]Cost Analysis'!$C:$FO,102,FALSE)=0,"",VLOOKUP($B21,'[1]Cost Analysis'!$C:$FO,102,FALSE))</f>
        <v/>
      </c>
      <c r="BN21" s="7" t="str">
        <f>IF(VLOOKUP($B21,'[1]Cost Analysis'!$C:$FO,103,FALSE)=0,"",VLOOKUP($B21,'[1]Cost Analysis'!$C:$FO,103,FALSE))</f>
        <v/>
      </c>
      <c r="BO21" s="7">
        <f>IF(VLOOKUP($B21,'[1]Cost Analysis'!$C:$FO,104,FALSE)=0,"",VLOOKUP($B21,'[1]Cost Analysis'!$C:$FO,104,FALSE))</f>
        <v>-270600</v>
      </c>
      <c r="BP21" s="7">
        <f>IF(VLOOKUP($B21,'[1]Cost Analysis'!$C:$FO,105,FALSE)=0,"",VLOOKUP($B21,'[1]Cost Analysis'!$C:$FO,105,FALSE))</f>
        <v>-250000</v>
      </c>
      <c r="BQ21" s="7" t="str">
        <f>IF(VLOOKUP($B21,'[1]Cost Analysis'!$C:$FO,106,FALSE)=0,"",VLOOKUP($B21,'[1]Cost Analysis'!$C:$FO,106,FALSE))</f>
        <v/>
      </c>
      <c r="BR21" s="7">
        <f>IF(VLOOKUP($B21,'[1]Cost Analysis'!$C:$FO,107,FALSE)=0,"",VLOOKUP($B21,'[1]Cost Analysis'!$C:$FO,107,FALSE))</f>
        <v>-20400</v>
      </c>
      <c r="BS21" s="7" t="str">
        <f>IF(VLOOKUP($B21,'[1]Cost Analysis'!$C:$FO,108,FALSE)=0,"",VLOOKUP($B21,'[1]Cost Analysis'!$C:$FO,108,FALSE))</f>
        <v/>
      </c>
      <c r="BT21" s="7" t="str">
        <f>IF(VLOOKUP($B21,'[1]Cost Analysis'!$C:$FO,109,FALSE)=0,"",VLOOKUP($B21,'[1]Cost Analysis'!$C:$FO,109,FALSE))</f>
        <v/>
      </c>
      <c r="BU21" s="7" t="str">
        <f>IF(VLOOKUP($B21,'[1]Cost Analysis'!$C:$FO,110,FALSE)=0,"",VLOOKUP($B21,'[1]Cost Analysis'!$C:$FO,110,FALSE))</f>
        <v/>
      </c>
      <c r="BV21" s="7">
        <f>IF(VLOOKUP($B21,'[1]Cost Analysis'!$C:$FO,111,FALSE)=0,"",VLOOKUP($B21,'[1]Cost Analysis'!$C:$FO,111,FALSE))</f>
        <v>-20400</v>
      </c>
      <c r="BW21" s="7">
        <f>IF(VLOOKUP($B21,'[1]Cost Analysis'!$C:$FO,112,FALSE)=0,"",VLOOKUP($B21,'[1]Cost Analysis'!$C:$FO,112,FALSE))</f>
        <v>47082777.640000001</v>
      </c>
      <c r="BX21" s="7">
        <f>IF(VLOOKUP($B21,'[1]Cost Analysis'!$C:$FO,125,FALSE)=0,"",VLOOKUP($B21,'[1]Cost Analysis'!$C:$FO,125,FALSE))</f>
        <v>2576989.96</v>
      </c>
      <c r="BY21" s="7">
        <f>IF(VLOOKUP($B21,'[1]Cost Analysis'!$C:$FO,126,FALSE)=0,"",VLOOKUP($B21,'[1]Cost Analysis'!$C:$FO,126,FALSE))</f>
        <v>2982954.83</v>
      </c>
      <c r="BZ21" s="7">
        <f>IF(VLOOKUP($B21,'[1]Cost Analysis'!$C:$FO,127,FALSE)=0,"",VLOOKUP($B21,'[1]Cost Analysis'!$C:$FO,127,FALSE))</f>
        <v>2958214.42</v>
      </c>
      <c r="CA21" s="7">
        <f>IF(VLOOKUP($B21,'[1]Cost Analysis'!$C:$FO,128,FALSE)=0,"",VLOOKUP($B21,'[1]Cost Analysis'!$C:$FO,128,FALSE))</f>
        <v>38526</v>
      </c>
      <c r="CB21" s="7">
        <f>IF(VLOOKUP($B21,'[1]Cost Analysis'!$C:$FO,129,FALSE)=0,"",VLOOKUP($B21,'[1]Cost Analysis'!$C:$FO,129,FALSE))</f>
        <v>197000</v>
      </c>
      <c r="CC21" s="7">
        <f>IF(VLOOKUP($B21,'[1]Cost Analysis'!$C:$FO,130,FALSE)=0,"",VLOOKUP($B21,'[1]Cost Analysis'!$C:$FO,130,FALSE))</f>
        <v>141119.70000000001</v>
      </c>
      <c r="CD21" s="7" t="str">
        <f>IF(VLOOKUP($B21,'[1]Cost Analysis'!$C:$FO,131,FALSE)=0,"",VLOOKUP($B21,'[1]Cost Analysis'!$C:$FO,131,FALSE))</f>
        <v/>
      </c>
      <c r="CE21" s="7" t="str">
        <f>IF(VLOOKUP($B21,'[1]Cost Analysis'!$C:$FO,132,FALSE)=0,"",VLOOKUP($B21,'[1]Cost Analysis'!$C:$FO,132,FALSE))</f>
        <v/>
      </c>
      <c r="CF21" s="7" t="str">
        <f>IF(VLOOKUP($B21,'[1]Cost Analysis'!$C:$FO,133,FALSE)=0,"",VLOOKUP($B21,'[1]Cost Analysis'!$C:$FO,133,FALSE))</f>
        <v/>
      </c>
      <c r="CG21" s="7">
        <f>IF(VLOOKUP($B21,'[1]Cost Analysis'!$C:$FO,134,FALSE)=0,"",VLOOKUP($B21,'[1]Cost Analysis'!$C:$FO,134,FALSE))</f>
        <v>35399236.420000002</v>
      </c>
      <c r="CH21" s="7">
        <f>IF(VLOOKUP($B21,'[1]Cost Analysis'!$C:$FO,135,FALSE)=0,"",VLOOKUP($B21,'[1]Cost Analysis'!$C:$FO,135,FALSE))</f>
        <v>44294041.329999998</v>
      </c>
      <c r="CI21" s="7" t="str">
        <f>IF(VLOOKUP($B21,'[1]Cost Analysis'!$C:$FO,136,FALSE)=0,"",VLOOKUP($B21,'[1]Cost Analysis'!$C:$FO,136,FALSE))</f>
        <v/>
      </c>
      <c r="CJ21" s="7" t="str">
        <f>IF(VLOOKUP($B21,'[1]Cost Analysis'!$C:$FO,137,FALSE)=0,"",VLOOKUP($B21,'[1]Cost Analysis'!$C:$FO,137,FALSE))</f>
        <v/>
      </c>
      <c r="CK21" s="7" t="str">
        <f>IF(VLOOKUP($B21,'[1]Cost Analysis'!$C:$FO,138,FALSE)=0,"",VLOOKUP($B21,'[1]Cost Analysis'!$C:$FO,138,FALSE))</f>
        <v/>
      </c>
      <c r="CL21" s="7">
        <f>IF(VLOOKUP($B21,'[1]Cost Analysis'!$C:$FO,139,FALSE)=0,"",VLOOKUP($B21,'[1]Cost Analysis'!$C:$FO,139,FALSE))</f>
        <v>44294041.329999998</v>
      </c>
    </row>
    <row r="22" spans="1:90" ht="30" x14ac:dyDescent="0.25">
      <c r="A22" s="13" t="s">
        <v>31</v>
      </c>
      <c r="B22" s="13" t="s">
        <v>38</v>
      </c>
      <c r="C22" s="19" t="str">
        <f>VLOOKUP($B22,'[1]Cost Analysis'!$C:$FO,7,FALSE)</f>
        <v>Milestone 1</v>
      </c>
      <c r="D22" s="19" t="str">
        <f>VLOOKUP($B22,'[1]Cost Analysis'!$C:$FO,8,FALSE)</f>
        <v>Under Construction</v>
      </c>
      <c r="E22" s="18">
        <f>IF(ISERROR(VLOOKUP($B22,'[1]Cost Analysis'!$C:$FO,9,FALSE)),"",VLOOKUP($B22,'[1]Cost Analysis'!$C:$FO,9,FALSE))</f>
        <v>664160</v>
      </c>
      <c r="F22" s="17">
        <f>IF(ISERROR(VLOOKUP($B22,'[1]Cost Analysis'!$C:$FO,10,FALSE)),"",VLOOKUP($B22,'[1]Cost Analysis'!$C:$FO,10,FALSE))</f>
        <v>188.25396825396825</v>
      </c>
      <c r="G22" s="9">
        <f>IF(ISERROR(VLOOKUP($B22,'[1]Cost Analysis'!$C:$FO,12,FALSE)),"",VLOOKUP($B22,'[1]Cost Analysis'!$C:$FO,12,FALSE))</f>
        <v>82160.415384615306</v>
      </c>
      <c r="H22" s="17">
        <f>IF(ISERROR(VLOOKUP($B22,'[1]Cost Analysis'!$C:$FO,13,FALSE)),"",VLOOKUP($B22,'[1]Cost Analysis'!$C:$FO,13,FALSE))</f>
        <v>23.288099598813861</v>
      </c>
      <c r="I22" s="16">
        <f>IF(ISERROR(VLOOKUP($B22,'[1]Cost Analysis'!$C:$FO,14,FALSE)),"",VLOOKUP($B22,'[1]Cost Analysis'!$C:$FO,14,FALSE))</f>
        <v>0.12370575672219843</v>
      </c>
      <c r="J22" s="18">
        <f>IF(ISERROR(VLOOKUP($B22,'[1]Cost Analysis'!$C:$FO,15,FALSE)),"",VLOOKUP($B22,'[1]Cost Analysis'!$C:$FO,15,FALSE))</f>
        <v>81309</v>
      </c>
      <c r="K22" s="16">
        <f>IF(ISERROR(VLOOKUP($B22,'[1]Cost Analysis'!$C:$FO,16,FALSE)),"",VLOOKUP($B22,'[1]Cost Analysis'!$C:$FO,16,FALSE))</f>
        <v>0.12242381353890629</v>
      </c>
      <c r="L22" s="17">
        <f>IF(ISERROR(VLOOKUP($B22,'[1]Cost Analysis'!$C:$FO,17,FALSE)),"",VLOOKUP($B22,'[1]Cost Analysis'!$C:$FO,17,FALSE))</f>
        <v>851.41538461530581</v>
      </c>
      <c r="M22" s="17">
        <f>IF(ISERROR(VLOOKUP($B22,'[1]Cost Analysis'!$C:$FO,18,FALSE)),"",VLOOKUP($B22,'[1]Cost Analysis'!$C:$FO,18,FALSE))</f>
        <v>0.2749970829359647</v>
      </c>
      <c r="N22" s="16">
        <f>IF(ISERROR(VLOOKUP($B22,'[1]Cost Analysis'!$C:$FO,19,FALSE)),"",VLOOKUP($B22,'[1]Cost Analysis'!$C:$FO,19,FALSE))</f>
        <v>1.4607770847357314E-3</v>
      </c>
      <c r="O22" s="11">
        <f>IF(ISERROR(VLOOKUP($B22,'[1]Cost Analysis'!$C:$FO,36,FALSE)),"",VLOOKUP($B22,'[1]Cost Analysis'!$C:$FO,36,FALSE))</f>
        <v>135042</v>
      </c>
      <c r="P22" s="13" t="str">
        <f>IF(ISERROR(VLOOKUP($B22,'[1]Cost Analysis'!$C:$FO,37,FALSE)),"",VLOOKUP($B22,'[1]Cost Analysis'!$C:$FO,37,FALSE))</f>
        <v>Onsite Solar electric (PV) Owned</v>
      </c>
      <c r="Q22" s="11">
        <f>VLOOKUP($B22,'[1]Cost Analysis'!$C:$FO,39,FALSE)</f>
        <v>3528</v>
      </c>
      <c r="R22" s="11">
        <f>VLOOKUP($B22,'[1]Cost Analysis'!$C:$FO,40,FALSE)</f>
        <v>3528</v>
      </c>
      <c r="S22" s="13">
        <f>VLOOKUP($B22,'[1]Cost Analysis'!$C:$FO,41,FALSE)</f>
        <v>1</v>
      </c>
      <c r="T22" s="13">
        <f>VLOOKUP($B22,'[1]Cost Analysis'!$C:$FO,42,FALSE)</f>
        <v>3</v>
      </c>
      <c r="U22" s="13">
        <f>VLOOKUP($B22,'[1]Cost Analysis'!$C:$FO,43,FALSE)</f>
        <v>4</v>
      </c>
      <c r="V22" s="13" t="str">
        <f>VLOOKUP($B22,'[1]Cost Analysis'!$C:$FO,44,FALSE)</f>
        <v>ERI</v>
      </c>
      <c r="W22" s="13" t="str">
        <f>VLOOKUP($B22,'[1]Cost Analysis'!$C:$FO,45,FALSE)</f>
        <v>Southern Tier</v>
      </c>
      <c r="X22" s="15" t="str">
        <f>VLOOKUP($B22,'[1]Cost Analysis'!$C:$FO,46,FALSE)</f>
        <v>All Electric</v>
      </c>
      <c r="Y22" s="14" t="str">
        <f>VLOOKUP($B22,'[1]Cost Analysis'!$C:$FO,47,FALSE)</f>
        <v>Market Rate</v>
      </c>
      <c r="Z22" s="13" t="str">
        <f>VLOOKUP($B22,'[1]Cost Analysis'!$C:$FO,48,FALSE)</f>
        <v>Yes</v>
      </c>
      <c r="AA22" s="13" t="str">
        <f>VLOOKUP($B22,'[1]Cost Analysis'!$C:$FO,49,FALSE)</f>
        <v>Wood Frame</v>
      </c>
      <c r="AB22" s="13" t="str">
        <f>VLOOKUP($B22,'[1]Cost Analysis'!$C:$FO,50,FALSE)</f>
        <v>Multisplit - ASHP</v>
      </c>
      <c r="AC22" s="13" t="str">
        <f>VLOOKUP($B22,'[1]Cost Analysis'!$C:$FO,51,FALSE)</f>
        <v>ERV</v>
      </c>
      <c r="AD22" s="13" t="str">
        <f>VLOOKUP($B22,'[1]Cost Analysis'!$C:$FO,52,FALSE)</f>
        <v xml:space="preserve">ASHP w/ CO2 </v>
      </c>
      <c r="AE22" s="13" t="str">
        <f>VLOOKUP($B22,'[1]Cost Analysis'!$C:$FO,53,FALSE)</f>
        <v>Yes</v>
      </c>
      <c r="AF22" s="13" t="str">
        <f>VLOOKUP($B22,'[1]Cost Analysis'!$C:$FO,54,FALSE)</f>
        <v>Low Rise</v>
      </c>
      <c r="AG22" s="13" t="str">
        <f>IF(VLOOKUP($B22,'[1]Cost Analysis'!$C:$FO,55,FALSE)="PV","Yes","No")</f>
        <v>Yes</v>
      </c>
      <c r="AH22" s="13" t="str">
        <f>VLOOKUP($B22,'[1]Cost Analysis'!$C:$FO,57,FALSE)</f>
        <v>No</v>
      </c>
      <c r="AI22" s="13" t="str">
        <f>VLOOKUP($B22,'[1]Cost Analysis'!$C:$FO,58,FALSE)</f>
        <v>No</v>
      </c>
      <c r="AJ22" s="13" t="str">
        <f>VLOOKUP($B22,'[1]Cost Analysis'!$C:$FO,59,FALSE)</f>
        <v>No</v>
      </c>
      <c r="AK22" s="13">
        <f>VLOOKUP($B22,'[1]Cost Analysis'!$C:$FO,60,FALSE)</f>
        <v>6</v>
      </c>
      <c r="AL22" s="13" t="str">
        <f>VLOOKUP($B22,'[1]Cost Analysis'!$C:$FO,61,FALSE)</f>
        <v>No</v>
      </c>
      <c r="AM22" s="13" t="str">
        <f>VLOOKUP($B22,'[1]Cost Analysis'!$C:$FO,62,FALSE)</f>
        <v>NC</v>
      </c>
      <c r="AN22" s="12" t="str">
        <f>VLOOKUP($B22,'[1]Cost Analysis'!$C:$FO,63,FALSE)</f>
        <v>2016 ECCC of NYS</v>
      </c>
      <c r="AO22" s="12" t="str">
        <f>VLOOKUP($B22,'[1]Cost Analysis'!$C:$FO,67,FALSE)</f>
        <v>No</v>
      </c>
      <c r="AP22" s="12" t="str">
        <f>VLOOKUP($B22,'[1]Cost Analysis'!$C:$FO,69,FALSE)</f>
        <v>No</v>
      </c>
      <c r="AQ22" s="11">
        <f>VLOOKUP($B22,'[1]Cost Analysis'!$C:$FO,74,FALSE)</f>
        <v>135042</v>
      </c>
      <c r="AR22" s="11">
        <f>VLOOKUP($B22,'[1]Cost Analysis'!$C:$FO,75,FALSE)</f>
        <v>0</v>
      </c>
      <c r="AS22" s="10">
        <f>IF(ISERROR(VLOOKUP($B22,'[1]Cost Analysis'!$C:$FO,76,FALSE)),"",VLOOKUP($B22,'[1]Cost Analysis'!$C:$FO,76,FALSE))</f>
        <v>1</v>
      </c>
      <c r="AT22" s="9">
        <f>VLOOKUP($B22,'[1]Cost Analysis'!$C:$FO,78,FALSE)</f>
        <v>1862.52</v>
      </c>
      <c r="AU22" s="9">
        <f>VLOOKUP($B22,'[1]Cost Analysis'!$C:$FO,82,FALSE)</f>
        <v>0.52792517006802719</v>
      </c>
      <c r="AV22" s="8">
        <f>VLOOKUP($B22,'[1]Cost Analysis'!$C:$FO,83,FALSE)</f>
        <v>0</v>
      </c>
      <c r="AW22" s="7">
        <f>IF(VLOOKUP($B22,'[1]Cost Analysis'!$C:$FO,86,FALSE)=0,"",VLOOKUP($B22,'[1]Cost Analysis'!$C:$FO,86,FALSE))</f>
        <v>30000</v>
      </c>
      <c r="AX22" s="7">
        <f>IF(VLOOKUP($B22,'[1]Cost Analysis'!$C:$FO,87,FALSE)=0,"",VLOOKUP($B22,'[1]Cost Analysis'!$C:$FO,87,FALSE))</f>
        <v>64925.8</v>
      </c>
      <c r="AY22" s="7">
        <f>IF(VLOOKUP($B22,'[1]Cost Analysis'!$C:$FO,88,FALSE)=0,"",VLOOKUP($B22,'[1]Cost Analysis'!$C:$FO,88,FALSE))</f>
        <v>12400</v>
      </c>
      <c r="AZ22" s="7">
        <f>IF(VLOOKUP($B22,'[1]Cost Analysis'!$C:$FO,89,FALSE)=0,"",VLOOKUP($B22,'[1]Cost Analysis'!$C:$FO,89,FALSE))</f>
        <v>21000</v>
      </c>
      <c r="BA22" s="7">
        <f>IF(VLOOKUP($B22,'[1]Cost Analysis'!$C:$FO,90,FALSE)=0,"",VLOOKUP($B22,'[1]Cost Analysis'!$C:$FO,90,FALSE))</f>
        <v>34600</v>
      </c>
      <c r="BB22" s="7">
        <f>IF(VLOOKUP($B22,'[1]Cost Analysis'!$C:$FO,91,FALSE)=0,"",VLOOKUP($B22,'[1]Cost Analysis'!$C:$FO,91,FALSE))</f>
        <v>750</v>
      </c>
      <c r="BC22" s="7" t="str">
        <f>IF(VLOOKUP($B22,'[1]Cost Analysis'!$C:$FO,92,FALSE)=0,"",VLOOKUP($B22,'[1]Cost Analysis'!$C:$FO,92,FALSE))</f>
        <v/>
      </c>
      <c r="BD22" s="7" t="str">
        <f>IF(VLOOKUP($B22,'[1]Cost Analysis'!$C:$FO,93,FALSE)=0,"",VLOOKUP($B22,'[1]Cost Analysis'!$C:$FO,93,FALSE))</f>
        <v/>
      </c>
      <c r="BE22" s="7" t="str">
        <f>IF(VLOOKUP($B22,'[1]Cost Analysis'!$C:$FO,94,FALSE)=0,"",VLOOKUP($B22,'[1]Cost Analysis'!$C:$FO,94,FALSE))</f>
        <v/>
      </c>
      <c r="BF22" s="7">
        <f>IF(VLOOKUP($B22,'[1]Cost Analysis'!$C:$FO,95,FALSE)=0,"",VLOOKUP($B22,'[1]Cost Analysis'!$C:$FO,95,FALSE))</f>
        <v>500484.2</v>
      </c>
      <c r="BG22" s="7">
        <f>IF(VLOOKUP($B22,'[1]Cost Analysis'!$C:$FO,96,FALSE)=0,"",VLOOKUP($B22,'[1]Cost Analysis'!$C:$FO,96,FALSE))</f>
        <v>664160</v>
      </c>
      <c r="BH22" s="7">
        <f>IF(VLOOKUP($B22,'[1]Cost Analysis'!$C:$FO,97,FALSE)=0,"",VLOOKUP($B22,'[1]Cost Analysis'!$C:$FO,97,FALSE))</f>
        <v>-6400</v>
      </c>
      <c r="BI22" s="7" t="str">
        <f>IF(VLOOKUP($B22,'[1]Cost Analysis'!$C:$FO,98,FALSE)=0,"",VLOOKUP($B22,'[1]Cost Analysis'!$C:$FO,98,FALSE))</f>
        <v/>
      </c>
      <c r="BJ22" s="7" t="str">
        <f>IF(VLOOKUP($B22,'[1]Cost Analysis'!$C:$FO,99,FALSE)=0,"",VLOOKUP($B22,'[1]Cost Analysis'!$C:$FO,99,FALSE))</f>
        <v/>
      </c>
      <c r="BK22" s="7" t="str">
        <f>IF(VLOOKUP($B22,'[1]Cost Analysis'!$C:$FO,100,FALSE)=0,"",VLOOKUP($B22,'[1]Cost Analysis'!$C:$FO,100,FALSE))</f>
        <v/>
      </c>
      <c r="BL22" s="7" t="str">
        <f>IF(VLOOKUP($B22,'[1]Cost Analysis'!$C:$FO,101,FALSE)=0,"",VLOOKUP($B22,'[1]Cost Analysis'!$C:$FO,101,FALSE))</f>
        <v/>
      </c>
      <c r="BM22" s="7" t="str">
        <f>IF(VLOOKUP($B22,'[1]Cost Analysis'!$C:$FO,102,FALSE)=0,"",VLOOKUP($B22,'[1]Cost Analysis'!$C:$FO,102,FALSE))</f>
        <v/>
      </c>
      <c r="BN22" s="7" t="str">
        <f>IF(VLOOKUP($B22,'[1]Cost Analysis'!$C:$FO,103,FALSE)=0,"",VLOOKUP($B22,'[1]Cost Analysis'!$C:$FO,103,FALSE))</f>
        <v/>
      </c>
      <c r="BO22" s="7">
        <f>IF(VLOOKUP($B22,'[1]Cost Analysis'!$C:$FO,104,FALSE)=0,"",VLOOKUP($B22,'[1]Cost Analysis'!$C:$FO,104,FALSE))</f>
        <v>-6400</v>
      </c>
      <c r="BP22" s="7">
        <f>IF(VLOOKUP($B22,'[1]Cost Analysis'!$C:$FO,105,FALSE)=0,"",VLOOKUP($B22,'[1]Cost Analysis'!$C:$FO,105,FALSE))</f>
        <v>-59976</v>
      </c>
      <c r="BQ22" s="7">
        <f>IF(VLOOKUP($B22,'[1]Cost Analysis'!$C:$FO,106,FALSE)=0,"",VLOOKUP($B22,'[1]Cost Analysis'!$C:$FO,106,FALSE))</f>
        <v>-7500</v>
      </c>
      <c r="BR22" s="7">
        <f>IF(VLOOKUP($B22,'[1]Cost Analysis'!$C:$FO,107,FALSE)=0,"",VLOOKUP($B22,'[1]Cost Analysis'!$C:$FO,107,FALSE))</f>
        <v>-7433</v>
      </c>
      <c r="BS22" s="7" t="str">
        <f>IF(VLOOKUP($B22,'[1]Cost Analysis'!$C:$FO,108,FALSE)=0,"",VLOOKUP($B22,'[1]Cost Analysis'!$C:$FO,108,FALSE))</f>
        <v/>
      </c>
      <c r="BT22" s="7" t="str">
        <f>IF(VLOOKUP($B22,'[1]Cost Analysis'!$C:$FO,109,FALSE)=0,"",VLOOKUP($B22,'[1]Cost Analysis'!$C:$FO,109,FALSE))</f>
        <v/>
      </c>
      <c r="BU22" s="7" t="str">
        <f>IF(VLOOKUP($B22,'[1]Cost Analysis'!$C:$FO,110,FALSE)=0,"",VLOOKUP($B22,'[1]Cost Analysis'!$C:$FO,110,FALSE))</f>
        <v/>
      </c>
      <c r="BV22" s="7">
        <f>IF(VLOOKUP($B22,'[1]Cost Analysis'!$C:$FO,111,FALSE)=0,"",VLOOKUP($B22,'[1]Cost Analysis'!$C:$FO,111,FALSE))</f>
        <v>-14933</v>
      </c>
      <c r="BW22" s="7">
        <f>IF(VLOOKUP($B22,'[1]Cost Analysis'!$C:$FO,112,FALSE)=0,"",VLOOKUP($B22,'[1]Cost Analysis'!$C:$FO,112,FALSE))</f>
        <v>582851</v>
      </c>
      <c r="BX22" s="7">
        <f>IF(VLOOKUP($B22,'[1]Cost Analysis'!$C:$FO,125,FALSE)=0,"",VLOOKUP($B22,'[1]Cost Analysis'!$C:$FO,125,FALSE))</f>
        <v>17200</v>
      </c>
      <c r="BY22" s="7">
        <f>IF(VLOOKUP($B22,'[1]Cost Analysis'!$C:$FO,126,FALSE)=0,"",VLOOKUP($B22,'[1]Cost Analysis'!$C:$FO,126,FALSE))</f>
        <v>37815.384615384617</v>
      </c>
      <c r="BZ22" s="7">
        <f>IF(VLOOKUP($B22,'[1]Cost Analysis'!$C:$FO,127,FALSE)=0,"",VLOOKUP($B22,'[1]Cost Analysis'!$C:$FO,127,FALSE))</f>
        <v>7900</v>
      </c>
      <c r="CA22" s="7">
        <f>IF(VLOOKUP($B22,'[1]Cost Analysis'!$C:$FO,128,FALSE)=0,"",VLOOKUP($B22,'[1]Cost Analysis'!$C:$FO,128,FALSE))</f>
        <v>18600</v>
      </c>
      <c r="CB22" s="7" t="str">
        <f>IF(VLOOKUP($B22,'[1]Cost Analysis'!$C:$FO,129,FALSE)=0,"",VLOOKUP($B22,'[1]Cost Analysis'!$C:$FO,129,FALSE))</f>
        <v/>
      </c>
      <c r="CC22" s="7" t="str">
        <f>IF(VLOOKUP($B22,'[1]Cost Analysis'!$C:$FO,130,FALSE)=0,"",VLOOKUP($B22,'[1]Cost Analysis'!$C:$FO,130,FALSE))</f>
        <v/>
      </c>
      <c r="CD22" s="7" t="str">
        <f>IF(VLOOKUP($B22,'[1]Cost Analysis'!$C:$FO,131,FALSE)=0,"",VLOOKUP($B22,'[1]Cost Analysis'!$C:$FO,131,FALSE))</f>
        <v/>
      </c>
      <c r="CE22" s="7" t="str">
        <f>IF(VLOOKUP($B22,'[1]Cost Analysis'!$C:$FO,132,FALSE)=0,"",VLOOKUP($B22,'[1]Cost Analysis'!$C:$FO,132,FALSE))</f>
        <v/>
      </c>
      <c r="CF22" s="7" t="str">
        <f>IF(VLOOKUP($B22,'[1]Cost Analysis'!$C:$FO,133,FALSE)=0,"",VLOOKUP($B22,'[1]Cost Analysis'!$C:$FO,133,FALSE))</f>
        <v/>
      </c>
      <c r="CG22" s="7">
        <f>IF(VLOOKUP($B22,'[1]Cost Analysis'!$C:$FO,134,FALSE)=0,"",VLOOKUP($B22,'[1]Cost Analysis'!$C:$FO,134,FALSE))</f>
        <v>500484.2</v>
      </c>
      <c r="CH22" s="7">
        <f>IF(VLOOKUP($B22,'[1]Cost Analysis'!$C:$FO,135,FALSE)=0,"",VLOOKUP($B22,'[1]Cost Analysis'!$C:$FO,135,FALSE))</f>
        <v>581999.58461538469</v>
      </c>
      <c r="CI22" s="7" t="str">
        <f>IF(VLOOKUP($B22,'[1]Cost Analysis'!$C:$FO,136,FALSE)=0,"",VLOOKUP($B22,'[1]Cost Analysis'!$C:$FO,136,FALSE))</f>
        <v/>
      </c>
      <c r="CJ22" s="7" t="str">
        <f>IF(VLOOKUP($B22,'[1]Cost Analysis'!$C:$FO,137,FALSE)=0,"",VLOOKUP($B22,'[1]Cost Analysis'!$C:$FO,137,FALSE))</f>
        <v/>
      </c>
      <c r="CK22" s="7" t="str">
        <f>IF(VLOOKUP($B22,'[1]Cost Analysis'!$C:$FO,138,FALSE)=0,"",VLOOKUP($B22,'[1]Cost Analysis'!$C:$FO,138,FALSE))</f>
        <v/>
      </c>
      <c r="CL22" s="7">
        <f>IF(VLOOKUP($B22,'[1]Cost Analysis'!$C:$FO,139,FALSE)=0,"",VLOOKUP($B22,'[1]Cost Analysis'!$C:$FO,139,FALSE))</f>
        <v>581999.58461538469</v>
      </c>
    </row>
    <row r="23" spans="1:90" ht="30" x14ac:dyDescent="0.25">
      <c r="A23" s="13" t="s">
        <v>31</v>
      </c>
      <c r="B23" s="13" t="s">
        <v>37</v>
      </c>
      <c r="C23" s="19" t="str">
        <f>VLOOKUP($B23,'[1]Cost Analysis'!$C:$FO,7,FALSE)</f>
        <v>Milestone 3</v>
      </c>
      <c r="D23" s="19" t="str">
        <f>VLOOKUP($B23,'[1]Cost Analysis'!$C:$FO,8,FALSE)</f>
        <v>Completed within 3 years</v>
      </c>
      <c r="E23" s="18">
        <f>IF(ISERROR(VLOOKUP($B23,'[1]Cost Analysis'!$C:$FO,9,FALSE)),"",VLOOKUP($B23,'[1]Cost Analysis'!$C:$FO,9,FALSE))</f>
        <v>56860269.412500001</v>
      </c>
      <c r="F23" s="17">
        <f>IF(ISERROR(VLOOKUP($B23,'[1]Cost Analysis'!$C:$FO,10,FALSE)),"",VLOOKUP($B23,'[1]Cost Analysis'!$C:$FO,10,FALSE))</f>
        <v>407.85778421154566</v>
      </c>
      <c r="G23" s="9">
        <f>IF(ISERROR(VLOOKUP($B23,'[1]Cost Analysis'!$C:$FO,12,FALSE)),"",VLOOKUP($B23,'[1]Cost Analysis'!$C:$FO,12,FALSE))</f>
        <v>188271.41250000149</v>
      </c>
      <c r="H23" s="17">
        <f>IF(ISERROR(VLOOKUP($B23,'[1]Cost Analysis'!$C:$FO,13,FALSE)),"",VLOOKUP($B23,'[1]Cost Analysis'!$C:$FO,13,FALSE))</f>
        <v>1.3504677681978703</v>
      </c>
      <c r="I23" s="16">
        <f>IF(ISERROR(VLOOKUP($B23,'[1]Cost Analysis'!$C:$FO,14,FALSE)),"",VLOOKUP($B23,'[1]Cost Analysis'!$C:$FO,14,FALSE))</f>
        <v>3.3111241723841082E-3</v>
      </c>
      <c r="J23" s="18">
        <f>IF(ISERROR(VLOOKUP($B23,'[1]Cost Analysis'!$C:$FO,15,FALSE)),"",VLOOKUP($B23,'[1]Cost Analysis'!$C:$FO,15,FALSE))</f>
        <v>524617.80000000005</v>
      </c>
      <c r="K23" s="16">
        <f>IF(ISERROR(VLOOKUP($B23,'[1]Cost Analysis'!$C:$FO,16,FALSE)),"",VLOOKUP($B23,'[1]Cost Analysis'!$C:$FO,16,FALSE))</f>
        <v>9.2264388723538055E-3</v>
      </c>
      <c r="L23" s="17">
        <f>IF(ISERROR(VLOOKUP($B23,'[1]Cost Analysis'!$C:$FO,17,FALSE)),"",VLOOKUP($B23,'[1]Cost Analysis'!$C:$FO,17,FALSE))</f>
        <v>-336346.38749999856</v>
      </c>
      <c r="M23" s="17">
        <f>IF(ISERROR(VLOOKUP($B23,'[1]Cost Analysis'!$C:$FO,18,FALSE)),"",VLOOKUP($B23,'[1]Cost Analysis'!$C:$FO,18,FALSE))</f>
        <v>-2.4350742097898741</v>
      </c>
      <c r="N23" s="16">
        <f>IF(ISERROR(VLOOKUP($B23,'[1]Cost Analysis'!$C:$FO,19,FALSE)),"",VLOOKUP($B23,'[1]Cost Analysis'!$C:$FO,19,FALSE))</f>
        <v>-5.9704002327606968E-3</v>
      </c>
      <c r="O23" s="11" t="str">
        <f>IF(ISERROR(VLOOKUP($B23,'[1]Cost Analysis'!$C:$FO,36,FALSE)),"",VLOOKUP($B23,'[1]Cost Analysis'!$C:$FO,36,FALSE))</f>
        <v>-</v>
      </c>
      <c r="P23" s="13" t="str">
        <f>IF(ISERROR(VLOOKUP($B23,'[1]Cost Analysis'!$C:$FO,37,FALSE)),"",VLOOKUP($B23,'[1]Cost Analysis'!$C:$FO,37,FALSE))</f>
        <v>-</v>
      </c>
      <c r="Q23" s="11">
        <f>VLOOKUP($B23,'[1]Cost Analysis'!$C:$FO,39,FALSE)</f>
        <v>139412</v>
      </c>
      <c r="R23" s="11">
        <f>VLOOKUP($B23,'[1]Cost Analysis'!$C:$FO,40,FALSE)</f>
        <v>137000</v>
      </c>
      <c r="S23" s="13">
        <f>VLOOKUP($B23,'[1]Cost Analysis'!$C:$FO,41,FALSE)</f>
        <v>1</v>
      </c>
      <c r="T23" s="13">
        <f>VLOOKUP($B23,'[1]Cost Analysis'!$C:$FO,42,FALSE)</f>
        <v>22</v>
      </c>
      <c r="U23" s="13">
        <f>VLOOKUP($B23,'[1]Cost Analysis'!$C:$FO,43,FALSE)</f>
        <v>140</v>
      </c>
      <c r="V23" s="13" t="str">
        <f>VLOOKUP($B23,'[1]Cost Analysis'!$C:$FO,44,FALSE)</f>
        <v>PHI</v>
      </c>
      <c r="W23" s="13" t="str">
        <f>VLOOKUP($B23,'[1]Cost Analysis'!$C:$FO,45,FALSE)</f>
        <v>NYC</v>
      </c>
      <c r="X23" s="15" t="str">
        <f>VLOOKUP($B23,'[1]Cost Analysis'!$C:$FO,46,FALSE)</f>
        <v>Fossil Fuels</v>
      </c>
      <c r="Y23" s="14" t="str">
        <f>VLOOKUP($B23,'[1]Cost Analysis'!$C:$FO,47,FALSE)</f>
        <v>Market Rate</v>
      </c>
      <c r="Z23" s="13" t="str">
        <f>VLOOKUP($B23,'[1]Cost Analysis'!$C:$FO,48,FALSE)</f>
        <v>Yes</v>
      </c>
      <c r="AA23" s="13" t="str">
        <f>VLOOKUP($B23,'[1]Cost Analysis'!$C:$FO,49,FALSE)</f>
        <v>Block and Plank</v>
      </c>
      <c r="AB23" s="13" t="str">
        <f>VLOOKUP($B23,'[1]Cost Analysis'!$C:$FO,50,FALSE)</f>
        <v>VRF - ASHP</v>
      </c>
      <c r="AC23" s="13" t="str">
        <f>VLOOKUP($B23,'[1]Cost Analysis'!$C:$FO,51,FALSE)</f>
        <v>ERV</v>
      </c>
      <c r="AD23" s="13" t="str">
        <f>VLOOKUP($B23,'[1]Cost Analysis'!$C:$FO,52,FALSE)</f>
        <v>Fossil Fuel</v>
      </c>
      <c r="AE23" s="13" t="str">
        <f>VLOOKUP($B23,'[1]Cost Analysis'!$C:$FO,53,FALSE)</f>
        <v>Yes</v>
      </c>
      <c r="AF23" s="13" t="str">
        <f>VLOOKUP($B23,'[1]Cost Analysis'!$C:$FO,54,FALSE)</f>
        <v>Mid Rise</v>
      </c>
      <c r="AG23" s="13" t="str">
        <f>IF(VLOOKUP($B23,'[1]Cost Analysis'!$C:$FO,55,FALSE)="PV","Yes","No")</f>
        <v>No</v>
      </c>
      <c r="AH23" s="13" t="str">
        <f>VLOOKUP($B23,'[1]Cost Analysis'!$C:$FO,57,FALSE)</f>
        <v>No</v>
      </c>
      <c r="AI23" s="13" t="str">
        <f>VLOOKUP($B23,'[1]Cost Analysis'!$C:$FO,58,FALSE)</f>
        <v>No</v>
      </c>
      <c r="AJ23" s="13" t="str">
        <f>VLOOKUP($B23,'[1]Cost Analysis'!$C:$FO,59,FALSE)</f>
        <v>No</v>
      </c>
      <c r="AK23" s="13">
        <f>VLOOKUP($B23,'[1]Cost Analysis'!$C:$FO,60,FALSE)</f>
        <v>4</v>
      </c>
      <c r="AL23" s="13" t="str">
        <f>VLOOKUP($B23,'[1]Cost Analysis'!$C:$FO,61,FALSE)</f>
        <v>Yes</v>
      </c>
      <c r="AM23" s="13" t="str">
        <f>VLOOKUP($B23,'[1]Cost Analysis'!$C:$FO,62,FALSE)</f>
        <v>NC</v>
      </c>
      <c r="AN23" s="12" t="str">
        <f>VLOOKUP($B23,'[1]Cost Analysis'!$C:$FO,63,FALSE)</f>
        <v>2016 ECCC of NYS</v>
      </c>
      <c r="AO23" s="12" t="str">
        <f>VLOOKUP($B23,'[1]Cost Analysis'!$C:$FO,67,FALSE)</f>
        <v>No</v>
      </c>
      <c r="AP23" s="12" t="str">
        <f>VLOOKUP($B23,'[1]Cost Analysis'!$C:$FO,69,FALSE)</f>
        <v>Yes</v>
      </c>
      <c r="AQ23" s="11">
        <f>VLOOKUP($B23,'[1]Cost Analysis'!$C:$FO,74,FALSE)</f>
        <v>3897065</v>
      </c>
      <c r="AR23" s="11">
        <f>VLOOKUP($B23,'[1]Cost Analysis'!$C:$FO,75,FALSE)</f>
        <v>3897065</v>
      </c>
      <c r="AS23" s="10">
        <f>IF(ISERROR(VLOOKUP($B23,'[1]Cost Analysis'!$C:$FO,76,FALSE)),"",VLOOKUP($B23,'[1]Cost Analysis'!$C:$FO,76,FALSE))</f>
        <v>0</v>
      </c>
      <c r="AT23" s="9">
        <f>VLOOKUP($B23,'[1]Cost Analysis'!$C:$FO,78,FALSE)</f>
        <v>72696.42</v>
      </c>
      <c r="AU23" s="9">
        <f>VLOOKUP($B23,'[1]Cost Analysis'!$C:$FO,82,FALSE)</f>
        <v>0.53063080291970799</v>
      </c>
      <c r="AV23" s="8">
        <f>VLOOKUP($B23,'[1]Cost Analysis'!$C:$FO,83,FALSE)</f>
        <v>27.953583622643674</v>
      </c>
      <c r="AW23" s="7">
        <f>IF(VLOOKUP($B23,'[1]Cost Analysis'!$C:$FO,86,FALSE)=0,"",VLOOKUP($B23,'[1]Cost Analysis'!$C:$FO,86,FALSE))</f>
        <v>3168000</v>
      </c>
      <c r="AX23" s="7">
        <f>IF(VLOOKUP($B23,'[1]Cost Analysis'!$C:$FO,87,FALSE)=0,"",VLOOKUP($B23,'[1]Cost Analysis'!$C:$FO,87,FALSE))</f>
        <v>16052777</v>
      </c>
      <c r="AY23" s="7">
        <f>IF(VLOOKUP($B23,'[1]Cost Analysis'!$C:$FO,88,FALSE)=0,"",VLOOKUP($B23,'[1]Cost Analysis'!$C:$FO,88,FALSE))</f>
        <v>307000</v>
      </c>
      <c r="AZ23" s="7">
        <f>IF(VLOOKUP($B23,'[1]Cost Analysis'!$C:$FO,89,FALSE)=0,"",VLOOKUP($B23,'[1]Cost Analysis'!$C:$FO,89,FALSE))</f>
        <v>788116</v>
      </c>
      <c r="BA23" s="7">
        <f>IF(VLOOKUP($B23,'[1]Cost Analysis'!$C:$FO,90,FALSE)=0,"",VLOOKUP($B23,'[1]Cost Analysis'!$C:$FO,90,FALSE))</f>
        <v>3072683</v>
      </c>
      <c r="BB23" s="7">
        <f>IF(VLOOKUP($B23,'[1]Cost Analysis'!$C:$FO,91,FALSE)=0,"",VLOOKUP($B23,'[1]Cost Analysis'!$C:$FO,91,FALSE))</f>
        <v>553272</v>
      </c>
      <c r="BC23" s="7" t="str">
        <f>IF(VLOOKUP($B23,'[1]Cost Analysis'!$C:$FO,92,FALSE)=0,"",VLOOKUP($B23,'[1]Cost Analysis'!$C:$FO,92,FALSE))</f>
        <v/>
      </c>
      <c r="BD23" s="7" t="str">
        <f>IF(VLOOKUP($B23,'[1]Cost Analysis'!$C:$FO,93,FALSE)=0,"",VLOOKUP($B23,'[1]Cost Analysis'!$C:$FO,93,FALSE))</f>
        <v/>
      </c>
      <c r="BE23" s="7">
        <f>IF(VLOOKUP($B23,'[1]Cost Analysis'!$C:$FO,94,FALSE)=0,"",VLOOKUP($B23,'[1]Cost Analysis'!$C:$FO,94,FALSE))</f>
        <v>7001039.7062499998</v>
      </c>
      <c r="BF23" s="7">
        <f>IF(VLOOKUP($B23,'[1]Cost Analysis'!$C:$FO,95,FALSE)=0,"",VLOOKUP($B23,'[1]Cost Analysis'!$C:$FO,95,FALSE))</f>
        <v>25917381.706250001</v>
      </c>
      <c r="BG23" s="7">
        <f>IF(VLOOKUP($B23,'[1]Cost Analysis'!$C:$FO,96,FALSE)=0,"",VLOOKUP($B23,'[1]Cost Analysis'!$C:$FO,96,FALSE))</f>
        <v>56860269.412500001</v>
      </c>
      <c r="BH23" s="7">
        <f>IF(VLOOKUP($B23,'[1]Cost Analysis'!$C:$FO,97,FALSE)=0,"",VLOOKUP($B23,'[1]Cost Analysis'!$C:$FO,97,FALSE))</f>
        <v>-52500</v>
      </c>
      <c r="BI23" s="7" t="str">
        <f>IF(VLOOKUP($B23,'[1]Cost Analysis'!$C:$FO,98,FALSE)=0,"",VLOOKUP($B23,'[1]Cost Analysis'!$C:$FO,98,FALSE))</f>
        <v/>
      </c>
      <c r="BJ23" s="7">
        <f>IF(VLOOKUP($B23,'[1]Cost Analysis'!$C:$FO,99,FALSE)=0,"",VLOOKUP($B23,'[1]Cost Analysis'!$C:$FO,99,FALSE))</f>
        <v>-47117.8</v>
      </c>
      <c r="BK23" s="7" t="str">
        <f>IF(VLOOKUP($B23,'[1]Cost Analysis'!$C:$FO,100,FALSE)=0,"",VLOOKUP($B23,'[1]Cost Analysis'!$C:$FO,100,FALSE))</f>
        <v/>
      </c>
      <c r="BL23" s="7" t="str">
        <f>IF(VLOOKUP($B23,'[1]Cost Analysis'!$C:$FO,101,FALSE)=0,"",VLOOKUP($B23,'[1]Cost Analysis'!$C:$FO,101,FALSE))</f>
        <v/>
      </c>
      <c r="BM23" s="7" t="str">
        <f>IF(VLOOKUP($B23,'[1]Cost Analysis'!$C:$FO,102,FALSE)=0,"",VLOOKUP($B23,'[1]Cost Analysis'!$C:$FO,102,FALSE))</f>
        <v/>
      </c>
      <c r="BN23" s="7" t="str">
        <f>IF(VLOOKUP($B23,'[1]Cost Analysis'!$C:$FO,103,FALSE)=0,"",VLOOKUP($B23,'[1]Cost Analysis'!$C:$FO,103,FALSE))</f>
        <v/>
      </c>
      <c r="BO23" s="7">
        <f>IF(VLOOKUP($B23,'[1]Cost Analysis'!$C:$FO,104,FALSE)=0,"",VLOOKUP($B23,'[1]Cost Analysis'!$C:$FO,104,FALSE))</f>
        <v>-99617.8</v>
      </c>
      <c r="BP23" s="7">
        <f>IF(VLOOKUP($B23,'[1]Cost Analysis'!$C:$FO,105,FALSE)=0,"",VLOOKUP($B23,'[1]Cost Analysis'!$C:$FO,105,FALSE))</f>
        <v>-425000</v>
      </c>
      <c r="BQ23" s="7" t="str">
        <f>IF(VLOOKUP($B23,'[1]Cost Analysis'!$C:$FO,106,FALSE)=0,"",VLOOKUP($B23,'[1]Cost Analysis'!$C:$FO,106,FALSE))</f>
        <v/>
      </c>
      <c r="BR23" s="7" t="str">
        <f>IF(VLOOKUP($B23,'[1]Cost Analysis'!$C:$FO,107,FALSE)=0,"",VLOOKUP($B23,'[1]Cost Analysis'!$C:$FO,107,FALSE))</f>
        <v/>
      </c>
      <c r="BS23" s="7" t="str">
        <f>IF(VLOOKUP($B23,'[1]Cost Analysis'!$C:$FO,108,FALSE)=0,"",VLOOKUP($B23,'[1]Cost Analysis'!$C:$FO,108,FALSE))</f>
        <v/>
      </c>
      <c r="BT23" s="7" t="str">
        <f>IF(VLOOKUP($B23,'[1]Cost Analysis'!$C:$FO,109,FALSE)=0,"",VLOOKUP($B23,'[1]Cost Analysis'!$C:$FO,109,FALSE))</f>
        <v/>
      </c>
      <c r="BU23" s="7" t="str">
        <f>IF(VLOOKUP($B23,'[1]Cost Analysis'!$C:$FO,110,FALSE)=0,"",VLOOKUP($B23,'[1]Cost Analysis'!$C:$FO,110,FALSE))</f>
        <v/>
      </c>
      <c r="BV23" s="7" t="str">
        <f>IF(VLOOKUP($B23,'[1]Cost Analysis'!$C:$FO,111,FALSE)=0,"",VLOOKUP($B23,'[1]Cost Analysis'!$C:$FO,111,FALSE))</f>
        <v/>
      </c>
      <c r="BW23" s="7">
        <f>IF(VLOOKUP($B23,'[1]Cost Analysis'!$C:$FO,112,FALSE)=0,"",VLOOKUP($B23,'[1]Cost Analysis'!$C:$FO,112,FALSE))</f>
        <v>56335651.612500004</v>
      </c>
      <c r="BX23" s="7">
        <f>IF(VLOOKUP($B23,'[1]Cost Analysis'!$C:$FO,125,FALSE)=0,"",VLOOKUP($B23,'[1]Cost Analysis'!$C:$FO,125,FALSE))</f>
        <v>3868000</v>
      </c>
      <c r="BY23" s="7">
        <f>IF(VLOOKUP($B23,'[1]Cost Analysis'!$C:$FO,126,FALSE)=0,"",VLOOKUP($B23,'[1]Cost Analysis'!$C:$FO,126,FALSE))</f>
        <v>15242777</v>
      </c>
      <c r="BZ23" s="7">
        <f>IF(VLOOKUP($B23,'[1]Cost Analysis'!$C:$FO,127,FALSE)=0,"",VLOOKUP($B23,'[1]Cost Analysis'!$C:$FO,127,FALSE))</f>
        <v>307000</v>
      </c>
      <c r="CA23" s="7">
        <f>IF(VLOOKUP($B23,'[1]Cost Analysis'!$C:$FO,128,FALSE)=0,"",VLOOKUP($B23,'[1]Cost Analysis'!$C:$FO,128,FALSE))</f>
        <v>788116</v>
      </c>
      <c r="CB23" s="7">
        <f>IF(VLOOKUP($B23,'[1]Cost Analysis'!$C:$FO,129,FALSE)=0,"",VLOOKUP($B23,'[1]Cost Analysis'!$C:$FO,129,FALSE))</f>
        <v>3072683</v>
      </c>
      <c r="CC23" s="7">
        <f>IF(VLOOKUP($B23,'[1]Cost Analysis'!$C:$FO,130,FALSE)=0,"",VLOOKUP($B23,'[1]Cost Analysis'!$C:$FO,130,FALSE))</f>
        <v>475000</v>
      </c>
      <c r="CD23" s="7" t="str">
        <f>IF(VLOOKUP($B23,'[1]Cost Analysis'!$C:$FO,131,FALSE)=0,"",VLOOKUP($B23,'[1]Cost Analysis'!$C:$FO,131,FALSE))</f>
        <v/>
      </c>
      <c r="CE23" s="7" t="str">
        <f>IF(VLOOKUP($B23,'[1]Cost Analysis'!$C:$FO,132,FALSE)=0,"",VLOOKUP($B23,'[1]Cost Analysis'!$C:$FO,132,FALSE))</f>
        <v/>
      </c>
      <c r="CF23" s="7">
        <f>IF(VLOOKUP($B23,'[1]Cost Analysis'!$C:$FO,133,FALSE)=0,"",VLOOKUP($B23,'[1]Cost Analysis'!$C:$FO,133,FALSE))</f>
        <v>7001040</v>
      </c>
      <c r="CG23" s="7">
        <f>IF(VLOOKUP($B23,'[1]Cost Analysis'!$C:$FO,134,FALSE)=0,"",VLOOKUP($B23,'[1]Cost Analysis'!$C:$FO,134,FALSE))</f>
        <v>25917382</v>
      </c>
      <c r="CH23" s="7">
        <f>IF(VLOOKUP($B23,'[1]Cost Analysis'!$C:$FO,135,FALSE)=0,"",VLOOKUP($B23,'[1]Cost Analysis'!$C:$FO,135,FALSE))</f>
        <v>56671998</v>
      </c>
      <c r="CI23" s="7" t="str">
        <f>IF(VLOOKUP($B23,'[1]Cost Analysis'!$C:$FO,136,FALSE)=0,"",VLOOKUP($B23,'[1]Cost Analysis'!$C:$FO,136,FALSE))</f>
        <v/>
      </c>
      <c r="CJ23" s="7" t="str">
        <f>IF(VLOOKUP($B23,'[1]Cost Analysis'!$C:$FO,137,FALSE)=0,"",VLOOKUP($B23,'[1]Cost Analysis'!$C:$FO,137,FALSE))</f>
        <v/>
      </c>
      <c r="CK23" s="7" t="str">
        <f>IF(VLOOKUP($B23,'[1]Cost Analysis'!$C:$FO,138,FALSE)=0,"",VLOOKUP($B23,'[1]Cost Analysis'!$C:$FO,138,FALSE))</f>
        <v/>
      </c>
      <c r="CL23" s="7">
        <f>IF(VLOOKUP($B23,'[1]Cost Analysis'!$C:$FO,139,FALSE)=0,"",VLOOKUP($B23,'[1]Cost Analysis'!$C:$FO,139,FALSE))</f>
        <v>56671998</v>
      </c>
    </row>
    <row r="24" spans="1:90" ht="30" x14ac:dyDescent="0.25">
      <c r="A24" s="13" t="s">
        <v>31</v>
      </c>
      <c r="B24" s="13" t="s">
        <v>36</v>
      </c>
      <c r="C24" s="19" t="str">
        <f>VLOOKUP($B24,'[1]Cost Analysis'!$C:$FO,7,FALSE)</f>
        <v>Proposal</v>
      </c>
      <c r="D24" s="19" t="str">
        <f>VLOOKUP($B24,'[1]Cost Analysis'!$C:$FO,8,FALSE)</f>
        <v>Early Design</v>
      </c>
      <c r="E24" s="18">
        <f>IF(ISERROR(VLOOKUP($B24,'[1]Cost Analysis'!$C:$FO,9,FALSE)),"",VLOOKUP($B24,'[1]Cost Analysis'!$C:$FO,9,FALSE))</f>
        <v>86149665.280000001</v>
      </c>
      <c r="F24" s="17">
        <f>IF(ISERROR(VLOOKUP($B24,'[1]Cost Analysis'!$C:$FO,10,FALSE)),"",VLOOKUP($B24,'[1]Cost Analysis'!$C:$FO,10,FALSE))</f>
        <v>516.76053337812141</v>
      </c>
      <c r="G24" s="9">
        <f>IF(ISERROR(VLOOKUP($B24,'[1]Cost Analysis'!$C:$FO,12,FALSE)),"",VLOOKUP($B24,'[1]Cost Analysis'!$C:$FO,12,FALSE))</f>
        <v>4307483.2640000004</v>
      </c>
      <c r="H24" s="17">
        <f>IF(ISERROR(VLOOKUP($B24,'[1]Cost Analysis'!$C:$FO,13,FALSE)),"",VLOOKUP($B24,'[1]Cost Analysis'!$C:$FO,13,FALSE))</f>
        <v>25.838026668906075</v>
      </c>
      <c r="I24" s="16">
        <f>IF(ISERROR(VLOOKUP($B24,'[1]Cost Analysis'!$C:$FO,14,FALSE)),"",VLOOKUP($B24,'[1]Cost Analysis'!$C:$FO,14,FALSE))</f>
        <v>0.05</v>
      </c>
      <c r="J24" s="18">
        <f>IF(ISERROR(VLOOKUP($B24,'[1]Cost Analysis'!$C:$FO,15,FALSE)),"",VLOOKUP($B24,'[1]Cost Analysis'!$C:$FO,15,FALSE))</f>
        <v>1300000</v>
      </c>
      <c r="K24" s="16">
        <f>IF(ISERROR(VLOOKUP($B24,'[1]Cost Analysis'!$C:$FO,16,FALSE)),"",VLOOKUP($B24,'[1]Cost Analysis'!$C:$FO,16,FALSE))</f>
        <v>1.5090018002679348E-2</v>
      </c>
      <c r="L24" s="17">
        <f>IF(ISERROR(VLOOKUP($B24,'[1]Cost Analysis'!$C:$FO,17,FALSE)),"",VLOOKUP($B24,'[1]Cost Analysis'!$C:$FO,17,FALSE))</f>
        <v>3007483.2640000004</v>
      </c>
      <c r="M24" s="17">
        <f>IF(ISERROR(VLOOKUP($B24,'[1]Cost Analysis'!$C:$FO,18,FALSE)),"",VLOOKUP($B24,'[1]Cost Analysis'!$C:$FO,18,FALSE))</f>
        <v>18.040100917156039</v>
      </c>
      <c r="N24" s="16">
        <f>IF(ISERROR(VLOOKUP($B24,'[1]Cost Analysis'!$C:$FO,19,FALSE)),"",VLOOKUP($B24,'[1]Cost Analysis'!$C:$FO,19,FALSE))</f>
        <v>3.4909981997320656E-2</v>
      </c>
      <c r="O24" s="11">
        <f>IF(ISERROR(VLOOKUP($B24,'[1]Cost Analysis'!$C:$FO,36,FALSE)),"",VLOOKUP($B24,'[1]Cost Analysis'!$C:$FO,36,FALSE))</f>
        <v>1465877</v>
      </c>
      <c r="P24" s="13" t="str">
        <f>IF(ISERROR(VLOOKUP($B24,'[1]Cost Analysis'!$C:$FO,37,FALSE)),"",VLOOKUP($B24,'[1]Cost Analysis'!$C:$FO,37,FALSE))</f>
        <v>Onsite Solar electric (PV) Owned</v>
      </c>
      <c r="Q24" s="11">
        <f>VLOOKUP($B24,'[1]Cost Analysis'!$C:$FO,39,FALSE)</f>
        <v>166711</v>
      </c>
      <c r="R24" s="11">
        <f>VLOOKUP($B24,'[1]Cost Analysis'!$C:$FO,40,FALSE)</f>
        <v>159076</v>
      </c>
      <c r="S24" s="13">
        <f>VLOOKUP($B24,'[1]Cost Analysis'!$C:$FO,41,FALSE)</f>
        <v>1</v>
      </c>
      <c r="T24" s="13">
        <f>VLOOKUP($B24,'[1]Cost Analysis'!$C:$FO,42,FALSE)</f>
        <v>13</v>
      </c>
      <c r="U24" s="13">
        <f>VLOOKUP($B24,'[1]Cost Analysis'!$C:$FO,43,FALSE)</f>
        <v>168</v>
      </c>
      <c r="V24" s="13" t="str">
        <f>VLOOKUP($B24,'[1]Cost Analysis'!$C:$FO,44,FALSE)</f>
        <v>PHI</v>
      </c>
      <c r="W24" s="13" t="str">
        <f>VLOOKUP($B24,'[1]Cost Analysis'!$C:$FO,45,FALSE)</f>
        <v>NYC</v>
      </c>
      <c r="X24" s="15" t="str">
        <f>VLOOKUP($B24,'[1]Cost Analysis'!$C:$FO,46,FALSE)</f>
        <v>All Electric</v>
      </c>
      <c r="Y24" s="14" t="str">
        <f>VLOOKUP($B24,'[1]Cost Analysis'!$C:$FO,47,FALSE)</f>
        <v>LMI</v>
      </c>
      <c r="Z24" s="13" t="str">
        <f>VLOOKUP($B24,'[1]Cost Analysis'!$C:$FO,48,FALSE)</f>
        <v>Yes</v>
      </c>
      <c r="AA24" s="13" t="str">
        <f>VLOOKUP($B24,'[1]Cost Analysis'!$C:$FO,49,FALSE)</f>
        <v>Cast in Place Concrete</v>
      </c>
      <c r="AB24" s="13" t="str">
        <f>VLOOKUP($B24,'[1]Cost Analysis'!$C:$FO,50,FALSE)</f>
        <v>VRF - ASHP</v>
      </c>
      <c r="AC24" s="13" t="str">
        <f>VLOOKUP($B24,'[1]Cost Analysis'!$C:$FO,51,FALSE)</f>
        <v>ERV</v>
      </c>
      <c r="AD24" s="13" t="str">
        <f>VLOOKUP($B24,'[1]Cost Analysis'!$C:$FO,52,FALSE)</f>
        <v>ASHP</v>
      </c>
      <c r="AE24" s="13" t="str">
        <f>VLOOKUP($B24,'[1]Cost Analysis'!$C:$FO,53,FALSE)</f>
        <v>Yes</v>
      </c>
      <c r="AF24" s="13" t="str">
        <f>VLOOKUP($B24,'[1]Cost Analysis'!$C:$FO,54,FALSE)</f>
        <v>Mid Rise</v>
      </c>
      <c r="AG24" s="13" t="str">
        <f>IF(VLOOKUP($B24,'[1]Cost Analysis'!$C:$FO,55,FALSE)="PV","Yes","No")</f>
        <v>Yes</v>
      </c>
      <c r="AH24" s="13" t="str">
        <f>VLOOKUP($B24,'[1]Cost Analysis'!$C:$FO,57,FALSE)</f>
        <v>No</v>
      </c>
      <c r="AI24" s="13" t="str">
        <f>VLOOKUP($B24,'[1]Cost Analysis'!$C:$FO,58,FALSE)</f>
        <v>No</v>
      </c>
      <c r="AJ24" s="13" t="str">
        <f>VLOOKUP($B24,'[1]Cost Analysis'!$C:$FO,59,FALSE)</f>
        <v>No</v>
      </c>
      <c r="AK24" s="13">
        <f>VLOOKUP($B24,'[1]Cost Analysis'!$C:$FO,60,FALSE)</f>
        <v>4</v>
      </c>
      <c r="AL24" s="13" t="str">
        <f>VLOOKUP($B24,'[1]Cost Analysis'!$C:$FO,61,FALSE)</f>
        <v>No</v>
      </c>
      <c r="AM24" s="13" t="str">
        <f>VLOOKUP($B24,'[1]Cost Analysis'!$C:$FO,62,FALSE)</f>
        <v>NC</v>
      </c>
      <c r="AN24" s="12" t="str">
        <f>VLOOKUP($B24,'[1]Cost Analysis'!$C:$FO,63,FALSE)</f>
        <v>2016 ECCC of NYS</v>
      </c>
      <c r="AO24" s="12" t="str">
        <f>VLOOKUP($B24,'[1]Cost Analysis'!$C:$FO,67,FALSE)</f>
        <v>Yes</v>
      </c>
      <c r="AP24" s="12" t="str">
        <f>VLOOKUP($B24,'[1]Cost Analysis'!$C:$FO,69,FALSE)</f>
        <v>Yes</v>
      </c>
      <c r="AQ24" s="11">
        <f>VLOOKUP($B24,'[1]Cost Analysis'!$C:$FO,74,FALSE)</f>
        <v>6241173</v>
      </c>
      <c r="AR24" s="11">
        <f>VLOOKUP($B24,'[1]Cost Analysis'!$C:$FO,75,FALSE)</f>
        <v>4775296</v>
      </c>
      <c r="AS24" s="10">
        <f>IF(ISERROR(VLOOKUP($B24,'[1]Cost Analysis'!$C:$FO,76,FALSE)),"",VLOOKUP($B24,'[1]Cost Analysis'!$C:$FO,76,FALSE))</f>
        <v>0.23487203447172511</v>
      </c>
      <c r="AT24" s="9">
        <f>VLOOKUP($B24,'[1]Cost Analysis'!$C:$FO,78,FALSE)</f>
        <v>65284.1</v>
      </c>
      <c r="AU24" s="9">
        <f>VLOOKUP($B24,'[1]Cost Analysis'!$C:$FO,82,FALSE)</f>
        <v>0.41039565993613114</v>
      </c>
      <c r="AV24" s="8">
        <f>VLOOKUP($B24,'[1]Cost Analysis'!$C:$FO,83,FALSE)</f>
        <v>28.644156654329947</v>
      </c>
      <c r="AW24" s="7" t="str">
        <f>IF(VLOOKUP($B24,'[1]Cost Analysis'!$C:$FO,86,FALSE)=0,"",VLOOKUP($B24,'[1]Cost Analysis'!$C:$FO,86,FALSE))</f>
        <v/>
      </c>
      <c r="AX24" s="7" t="str">
        <f>IF(VLOOKUP($B24,'[1]Cost Analysis'!$C:$FO,87,FALSE)=0,"",VLOOKUP($B24,'[1]Cost Analysis'!$C:$FO,87,FALSE))</f>
        <v/>
      </c>
      <c r="AY24" s="7" t="str">
        <f>IF(VLOOKUP($B24,'[1]Cost Analysis'!$C:$FO,88,FALSE)=0,"",VLOOKUP($B24,'[1]Cost Analysis'!$C:$FO,88,FALSE))</f>
        <v/>
      </c>
      <c r="AZ24" s="7" t="str">
        <f>IF(VLOOKUP($B24,'[1]Cost Analysis'!$C:$FO,89,FALSE)=0,"",VLOOKUP($B24,'[1]Cost Analysis'!$C:$FO,89,FALSE))</f>
        <v/>
      </c>
      <c r="BA24" s="7" t="str">
        <f>IF(VLOOKUP($B24,'[1]Cost Analysis'!$C:$FO,90,FALSE)=0,"",VLOOKUP($B24,'[1]Cost Analysis'!$C:$FO,90,FALSE))</f>
        <v/>
      </c>
      <c r="BB24" s="7" t="str">
        <f>IF(VLOOKUP($B24,'[1]Cost Analysis'!$C:$FO,91,FALSE)=0,"",VLOOKUP($B24,'[1]Cost Analysis'!$C:$FO,91,FALSE))</f>
        <v/>
      </c>
      <c r="BC24" s="7" t="str">
        <f>IF(VLOOKUP($B24,'[1]Cost Analysis'!$C:$FO,92,FALSE)=0,"",VLOOKUP($B24,'[1]Cost Analysis'!$C:$FO,92,FALSE))</f>
        <v/>
      </c>
      <c r="BD24" s="7" t="str">
        <f>IF(VLOOKUP($B24,'[1]Cost Analysis'!$C:$FO,93,FALSE)=0,"",VLOOKUP($B24,'[1]Cost Analysis'!$C:$FO,93,FALSE))</f>
        <v/>
      </c>
      <c r="BE24" s="7" t="str">
        <f>IF(VLOOKUP($B24,'[1]Cost Analysis'!$C:$FO,94,FALSE)=0,"",VLOOKUP($B24,'[1]Cost Analysis'!$C:$FO,94,FALSE))</f>
        <v/>
      </c>
      <c r="BF24" s="7" t="str">
        <f>IF(VLOOKUP($B24,'[1]Cost Analysis'!$C:$FO,95,FALSE)=0,"",VLOOKUP($B24,'[1]Cost Analysis'!$C:$FO,95,FALSE))</f>
        <v/>
      </c>
      <c r="BG24" s="7" t="str">
        <f>IF(VLOOKUP($B24,'[1]Cost Analysis'!$C:$FO,96,FALSE)=0,"",VLOOKUP($B24,'[1]Cost Analysis'!$C:$FO,96,FALSE))</f>
        <v/>
      </c>
      <c r="BH24" s="7" t="str">
        <f>IF(VLOOKUP($B24,'[1]Cost Analysis'!$C:$FO,97,FALSE)=0,"",VLOOKUP($B24,'[1]Cost Analysis'!$C:$FO,97,FALSE))</f>
        <v/>
      </c>
      <c r="BI24" s="7" t="str">
        <f>IF(VLOOKUP($B24,'[1]Cost Analysis'!$C:$FO,98,FALSE)=0,"",VLOOKUP($B24,'[1]Cost Analysis'!$C:$FO,98,FALSE))</f>
        <v/>
      </c>
      <c r="BJ24" s="7" t="str">
        <f>IF(VLOOKUP($B24,'[1]Cost Analysis'!$C:$FO,99,FALSE)=0,"",VLOOKUP($B24,'[1]Cost Analysis'!$C:$FO,99,FALSE))</f>
        <v/>
      </c>
      <c r="BK24" s="7" t="str">
        <f>IF(VLOOKUP($B24,'[1]Cost Analysis'!$C:$FO,100,FALSE)=0,"",VLOOKUP($B24,'[1]Cost Analysis'!$C:$FO,100,FALSE))</f>
        <v/>
      </c>
      <c r="BL24" s="7" t="str">
        <f>IF(VLOOKUP($B24,'[1]Cost Analysis'!$C:$FO,101,FALSE)=0,"",VLOOKUP($B24,'[1]Cost Analysis'!$C:$FO,101,FALSE))</f>
        <v/>
      </c>
      <c r="BM24" s="7" t="str">
        <f>IF(VLOOKUP($B24,'[1]Cost Analysis'!$C:$FO,102,FALSE)=0,"",VLOOKUP($B24,'[1]Cost Analysis'!$C:$FO,102,FALSE))</f>
        <v/>
      </c>
      <c r="BN24" s="7" t="str">
        <f>IF(VLOOKUP($B24,'[1]Cost Analysis'!$C:$FO,103,FALSE)=0,"",VLOOKUP($B24,'[1]Cost Analysis'!$C:$FO,103,FALSE))</f>
        <v/>
      </c>
      <c r="BO24" s="7" t="str">
        <f>IF(VLOOKUP($B24,'[1]Cost Analysis'!$C:$FO,104,FALSE)=0,"",VLOOKUP($B24,'[1]Cost Analysis'!$C:$FO,104,FALSE))</f>
        <v/>
      </c>
      <c r="BP24" s="7" t="str">
        <f>IF(VLOOKUP($B24,'[1]Cost Analysis'!$C:$FO,105,FALSE)=0,"",VLOOKUP($B24,'[1]Cost Analysis'!$C:$FO,105,FALSE))</f>
        <v/>
      </c>
      <c r="BQ24" s="7" t="str">
        <f>IF(VLOOKUP($B24,'[1]Cost Analysis'!$C:$FO,106,FALSE)=0,"",VLOOKUP($B24,'[1]Cost Analysis'!$C:$FO,106,FALSE))</f>
        <v/>
      </c>
      <c r="BR24" s="7" t="str">
        <f>IF(VLOOKUP($B24,'[1]Cost Analysis'!$C:$FO,107,FALSE)=0,"",VLOOKUP($B24,'[1]Cost Analysis'!$C:$FO,107,FALSE))</f>
        <v/>
      </c>
      <c r="BS24" s="7" t="str">
        <f>IF(VLOOKUP($B24,'[1]Cost Analysis'!$C:$FO,108,FALSE)=0,"",VLOOKUP($B24,'[1]Cost Analysis'!$C:$FO,108,FALSE))</f>
        <v/>
      </c>
      <c r="BT24" s="7" t="str">
        <f>IF(VLOOKUP($B24,'[1]Cost Analysis'!$C:$FO,109,FALSE)=0,"",VLOOKUP($B24,'[1]Cost Analysis'!$C:$FO,109,FALSE))</f>
        <v/>
      </c>
      <c r="BU24" s="7" t="str">
        <f>IF(VLOOKUP($B24,'[1]Cost Analysis'!$C:$FO,110,FALSE)=0,"",VLOOKUP($B24,'[1]Cost Analysis'!$C:$FO,110,FALSE))</f>
        <v/>
      </c>
      <c r="BV24" s="7" t="str">
        <f>IF(VLOOKUP($B24,'[1]Cost Analysis'!$C:$FO,111,FALSE)=0,"",VLOOKUP($B24,'[1]Cost Analysis'!$C:$FO,111,FALSE))</f>
        <v/>
      </c>
      <c r="BW24" s="7" t="str">
        <f>IF(VLOOKUP($B24,'[1]Cost Analysis'!$C:$FO,112,FALSE)=0,"",VLOOKUP($B24,'[1]Cost Analysis'!$C:$FO,112,FALSE))</f>
        <v/>
      </c>
      <c r="BX24" s="7" t="str">
        <f>IF(VLOOKUP($B24,'[1]Cost Analysis'!$C:$FO,125,FALSE)=0,"",VLOOKUP($B24,'[1]Cost Analysis'!$C:$FO,125,FALSE))</f>
        <v/>
      </c>
      <c r="BY24" s="7" t="str">
        <f>IF(VLOOKUP($B24,'[1]Cost Analysis'!$C:$FO,126,FALSE)=0,"",VLOOKUP($B24,'[1]Cost Analysis'!$C:$FO,126,FALSE))</f>
        <v/>
      </c>
      <c r="BZ24" s="7" t="str">
        <f>IF(VLOOKUP($B24,'[1]Cost Analysis'!$C:$FO,127,FALSE)=0,"",VLOOKUP($B24,'[1]Cost Analysis'!$C:$FO,127,FALSE))</f>
        <v/>
      </c>
      <c r="CA24" s="7" t="str">
        <f>IF(VLOOKUP($B24,'[1]Cost Analysis'!$C:$FO,128,FALSE)=0,"",VLOOKUP($B24,'[1]Cost Analysis'!$C:$FO,128,FALSE))</f>
        <v/>
      </c>
      <c r="CB24" s="7" t="str">
        <f>IF(VLOOKUP($B24,'[1]Cost Analysis'!$C:$FO,129,FALSE)=0,"",VLOOKUP($B24,'[1]Cost Analysis'!$C:$FO,129,FALSE))</f>
        <v/>
      </c>
      <c r="CC24" s="7" t="str">
        <f>IF(VLOOKUP($B24,'[1]Cost Analysis'!$C:$FO,130,FALSE)=0,"",VLOOKUP($B24,'[1]Cost Analysis'!$C:$FO,130,FALSE))</f>
        <v/>
      </c>
      <c r="CD24" s="7" t="str">
        <f>IF(VLOOKUP($B24,'[1]Cost Analysis'!$C:$FO,131,FALSE)=0,"",VLOOKUP($B24,'[1]Cost Analysis'!$C:$FO,131,FALSE))</f>
        <v/>
      </c>
      <c r="CE24" s="7" t="str">
        <f>IF(VLOOKUP($B24,'[1]Cost Analysis'!$C:$FO,132,FALSE)=0,"",VLOOKUP($B24,'[1]Cost Analysis'!$C:$FO,132,FALSE))</f>
        <v/>
      </c>
      <c r="CF24" s="7" t="str">
        <f>IF(VLOOKUP($B24,'[1]Cost Analysis'!$C:$FO,133,FALSE)=0,"",VLOOKUP($B24,'[1]Cost Analysis'!$C:$FO,133,FALSE))</f>
        <v/>
      </c>
      <c r="CG24" s="7" t="str">
        <f>IF(VLOOKUP($B24,'[1]Cost Analysis'!$C:$FO,134,FALSE)=0,"",VLOOKUP($B24,'[1]Cost Analysis'!$C:$FO,134,FALSE))</f>
        <v/>
      </c>
      <c r="CH24" s="7" t="str">
        <f>IF(VLOOKUP($B24,'[1]Cost Analysis'!$C:$FO,135,FALSE)=0,"",VLOOKUP($B24,'[1]Cost Analysis'!$C:$FO,135,FALSE))</f>
        <v/>
      </c>
      <c r="CI24" s="7" t="str">
        <f>IF(VLOOKUP($B24,'[1]Cost Analysis'!$C:$FO,136,FALSE)=0,"",VLOOKUP($B24,'[1]Cost Analysis'!$C:$FO,136,FALSE))</f>
        <v/>
      </c>
      <c r="CJ24" s="7" t="str">
        <f>IF(VLOOKUP($B24,'[1]Cost Analysis'!$C:$FO,137,FALSE)=0,"",VLOOKUP($B24,'[1]Cost Analysis'!$C:$FO,137,FALSE))</f>
        <v/>
      </c>
      <c r="CK24" s="7" t="str">
        <f>IF(VLOOKUP($B24,'[1]Cost Analysis'!$C:$FO,138,FALSE)=0,"",VLOOKUP($B24,'[1]Cost Analysis'!$C:$FO,138,FALSE))</f>
        <v/>
      </c>
      <c r="CL24" s="7" t="str">
        <f>IF(VLOOKUP($B24,'[1]Cost Analysis'!$C:$FO,139,FALSE)=0,"",VLOOKUP($B24,'[1]Cost Analysis'!$C:$FO,139,FALSE))</f>
        <v/>
      </c>
    </row>
    <row r="25" spans="1:90" ht="30" x14ac:dyDescent="0.25">
      <c r="A25" s="13" t="s">
        <v>31</v>
      </c>
      <c r="B25" s="13" t="s">
        <v>35</v>
      </c>
      <c r="C25" s="19" t="str">
        <f>VLOOKUP($B25,'[1]Cost Analysis'!$C:$FO,7,FALSE)</f>
        <v>Milestone 1</v>
      </c>
      <c r="D25" s="19" t="str">
        <f>VLOOKUP($B25,'[1]Cost Analysis'!$C:$FO,8,FALSE)</f>
        <v>Late Design</v>
      </c>
      <c r="E25" s="18">
        <f>IF(ISERROR(VLOOKUP($B25,'[1]Cost Analysis'!$C:$FO,9,FALSE)),"",VLOOKUP($B25,'[1]Cost Analysis'!$C:$FO,9,FALSE))</f>
        <v>10883992.34</v>
      </c>
      <c r="F25" s="17">
        <f>IF(ISERROR(VLOOKUP($B25,'[1]Cost Analysis'!$C:$FO,10,FALSE)),"",VLOOKUP($B25,'[1]Cost Analysis'!$C:$FO,10,FALSE))</f>
        <v>828.68831582153189</v>
      </c>
      <c r="G25" s="9">
        <f>IF(ISERROR(VLOOKUP($B25,'[1]Cost Analysis'!$C:$FO,12,FALSE)),"",VLOOKUP($B25,'[1]Cost Analysis'!$C:$FO,12,FALSE))</f>
        <v>2032912.3399999999</v>
      </c>
      <c r="H25" s="17">
        <f>IF(ISERROR(VLOOKUP($B25,'[1]Cost Analysis'!$C:$FO,13,FALSE)),"",VLOOKUP($B25,'[1]Cost Analysis'!$C:$FO,13,FALSE))</f>
        <v>154.78242271965888</v>
      </c>
      <c r="I25" s="16">
        <f>IF(ISERROR(VLOOKUP($B25,'[1]Cost Analysis'!$C:$FO,14,FALSE)),"",VLOOKUP($B25,'[1]Cost Analysis'!$C:$FO,14,FALSE))</f>
        <v>0.18678002303702465</v>
      </c>
      <c r="J25" s="18">
        <f>IF(ISERROR(VLOOKUP($B25,'[1]Cost Analysis'!$C:$FO,15,FALSE)),"",VLOOKUP($B25,'[1]Cost Analysis'!$C:$FO,15,FALSE))</f>
        <v>192946.5</v>
      </c>
      <c r="K25" s="16">
        <f>IF(ISERROR(VLOOKUP($B25,'[1]Cost Analysis'!$C:$FO,16,FALSE)),"",VLOOKUP($B25,'[1]Cost Analysis'!$C:$FO,16,FALSE))</f>
        <v>1.7727548308803753E-2</v>
      </c>
      <c r="L25" s="17">
        <f>IF(ISERROR(VLOOKUP($B25,'[1]Cost Analysis'!$C:$FO,17,FALSE)),"",VLOOKUP($B25,'[1]Cost Analysis'!$C:$FO,17,FALSE))</f>
        <v>1839965.8399999999</v>
      </c>
      <c r="M25" s="17">
        <f>IF(ISERROR(VLOOKUP($B25,'[1]Cost Analysis'!$C:$FO,18,FALSE)),"",VLOOKUP($B25,'[1]Cost Analysis'!$C:$FO,18,FALSE))</f>
        <v>83.268537786434891</v>
      </c>
      <c r="N25" s="16">
        <f>IF(ISERROR(VLOOKUP($B25,'[1]Cost Analysis'!$C:$FO,19,FALSE)),"",VLOOKUP($B25,'[1]Cost Analysis'!$C:$FO,19,FALSE))</f>
        <v>0.10048233599611628</v>
      </c>
      <c r="O25" s="11">
        <f>IF(ISERROR(VLOOKUP($B25,'[1]Cost Analysis'!$C:$FO,36,FALSE)),"",VLOOKUP($B25,'[1]Cost Analysis'!$C:$FO,36,FALSE))</f>
        <v>64380</v>
      </c>
      <c r="P25" s="13" t="str">
        <f>IF(ISERROR(VLOOKUP($B25,'[1]Cost Analysis'!$C:$FO,37,FALSE)),"",VLOOKUP($B25,'[1]Cost Analysis'!$C:$FO,37,FALSE))</f>
        <v>Onsite Solar electric (PV) Owned</v>
      </c>
      <c r="Q25" s="11">
        <f>VLOOKUP($B25,'[1]Cost Analysis'!$C:$FO,39,FALSE)</f>
        <v>13134</v>
      </c>
      <c r="R25" s="11">
        <f>VLOOKUP($B25,'[1]Cost Analysis'!$C:$FO,40,FALSE)</f>
        <v>10450</v>
      </c>
      <c r="S25" s="13">
        <f>VLOOKUP($B25,'[1]Cost Analysis'!$C:$FO,41,FALSE)</f>
        <v>1</v>
      </c>
      <c r="T25" s="13">
        <f>VLOOKUP($B25,'[1]Cost Analysis'!$C:$FO,42,FALSE)</f>
        <v>5</v>
      </c>
      <c r="U25" s="13">
        <f>VLOOKUP($B25,'[1]Cost Analysis'!$C:$FO,43,FALSE)</f>
        <v>4</v>
      </c>
      <c r="V25" s="13" t="str">
        <f>VLOOKUP($B25,'[1]Cost Analysis'!$C:$FO,44,FALSE)</f>
        <v>PHI</v>
      </c>
      <c r="W25" s="13" t="str">
        <f>VLOOKUP($B25,'[1]Cost Analysis'!$C:$FO,45,FALSE)</f>
        <v>NYC</v>
      </c>
      <c r="X25" s="15" t="str">
        <f>VLOOKUP($B25,'[1]Cost Analysis'!$C:$FO,46,FALSE)</f>
        <v>All Electric</v>
      </c>
      <c r="Y25" s="14" t="str">
        <f>VLOOKUP($B25,'[1]Cost Analysis'!$C:$FO,47,FALSE)</f>
        <v>Market Rate</v>
      </c>
      <c r="Z25" s="13" t="str">
        <f>VLOOKUP($B25,'[1]Cost Analysis'!$C:$FO,48,FALSE)</f>
        <v>Yes</v>
      </c>
      <c r="AA25" s="13" t="str">
        <f>VLOOKUP($B25,'[1]Cost Analysis'!$C:$FO,49,FALSE)</f>
        <v>Gut Rehab</v>
      </c>
      <c r="AB25" s="13" t="str">
        <f>VLOOKUP($B25,'[1]Cost Analysis'!$C:$FO,50,FALSE)</f>
        <v>VRF - ASHP</v>
      </c>
      <c r="AC25" s="13" t="str">
        <f>VLOOKUP($B25,'[1]Cost Analysis'!$C:$FO,51,FALSE)</f>
        <v>ERV</v>
      </c>
      <c r="AD25" s="13" t="str">
        <f>VLOOKUP($B25,'[1]Cost Analysis'!$C:$FO,52,FALSE)</f>
        <v>ASHP</v>
      </c>
      <c r="AE25" s="13" t="str">
        <f>VLOOKUP($B25,'[1]Cost Analysis'!$C:$FO,53,FALSE)</f>
        <v>Yes</v>
      </c>
      <c r="AF25" s="13" t="str">
        <f>VLOOKUP($B25,'[1]Cost Analysis'!$C:$FO,54,FALSE)</f>
        <v>Mid Rise</v>
      </c>
      <c r="AG25" s="13" t="str">
        <f>IF(VLOOKUP($B25,'[1]Cost Analysis'!$C:$FO,55,FALSE)="PV","Yes","No")</f>
        <v>Yes</v>
      </c>
      <c r="AH25" s="13" t="str">
        <f>VLOOKUP($B25,'[1]Cost Analysis'!$C:$FO,57,FALSE)</f>
        <v>No</v>
      </c>
      <c r="AI25" s="13" t="str">
        <f>VLOOKUP($B25,'[1]Cost Analysis'!$C:$FO,58,FALSE)</f>
        <v>No</v>
      </c>
      <c r="AJ25" s="13" t="str">
        <f>VLOOKUP($B25,'[1]Cost Analysis'!$C:$FO,59,FALSE)</f>
        <v>No</v>
      </c>
      <c r="AK25" s="13">
        <f>VLOOKUP($B25,'[1]Cost Analysis'!$C:$FO,60,FALSE)</f>
        <v>4</v>
      </c>
      <c r="AL25" s="13" t="str">
        <f>VLOOKUP($B25,'[1]Cost Analysis'!$C:$FO,61,FALSE)</f>
        <v>No</v>
      </c>
      <c r="AM25" s="13" t="str">
        <f>VLOOKUP($B25,'[1]Cost Analysis'!$C:$FO,62,FALSE)</f>
        <v>GR</v>
      </c>
      <c r="AN25" s="12" t="str">
        <f>VLOOKUP($B25,'[1]Cost Analysis'!$C:$FO,63,FALSE)</f>
        <v>2016 ECCC of NYS</v>
      </c>
      <c r="AO25" s="12" t="str">
        <f>VLOOKUP($B25,'[1]Cost Analysis'!$C:$FO,67,FALSE)</f>
        <v>No</v>
      </c>
      <c r="AP25" s="12" t="str">
        <f>VLOOKUP($B25,'[1]Cost Analysis'!$C:$FO,69,FALSE)</f>
        <v>Yes</v>
      </c>
      <c r="AQ25" s="11">
        <f>VLOOKUP($B25,'[1]Cost Analysis'!$C:$FO,74,FALSE)</f>
        <v>316383</v>
      </c>
      <c r="AR25" s="11">
        <f>VLOOKUP($B25,'[1]Cost Analysis'!$C:$FO,75,FALSE)</f>
        <v>252002</v>
      </c>
      <c r="AS25" s="10">
        <f>IF(ISERROR(VLOOKUP($B25,'[1]Cost Analysis'!$C:$FO,76,FALSE)),"",VLOOKUP($B25,'[1]Cost Analysis'!$C:$FO,76,FALSE))</f>
        <v>0.20349070588495588</v>
      </c>
      <c r="AT25" s="9">
        <f>VLOOKUP($B25,'[1]Cost Analysis'!$C:$FO,78,FALSE)</f>
        <v>16949</v>
      </c>
      <c r="AU25" s="9">
        <f>VLOOKUP($B25,'[1]Cost Analysis'!$C:$FO,82,FALSE)</f>
        <v>1.6219138755980862</v>
      </c>
      <c r="AV25" s="8">
        <f>VLOOKUP($B25,'[1]Cost Analysis'!$C:$FO,83,FALSE)</f>
        <v>19.186995583980508</v>
      </c>
      <c r="AW25" s="7">
        <f>IF(VLOOKUP($B25,'[1]Cost Analysis'!$C:$FO,86,FALSE)=0,"",VLOOKUP($B25,'[1]Cost Analysis'!$C:$FO,86,FALSE))</f>
        <v>245125</v>
      </c>
      <c r="AX25" s="7">
        <f>IF(VLOOKUP($B25,'[1]Cost Analysis'!$C:$FO,87,FALSE)=0,"",VLOOKUP($B25,'[1]Cost Analysis'!$C:$FO,87,FALSE))</f>
        <v>2859020.71</v>
      </c>
      <c r="AY25" s="7">
        <f>IF(VLOOKUP($B25,'[1]Cost Analysis'!$C:$FO,88,FALSE)=0,"",VLOOKUP($B25,'[1]Cost Analysis'!$C:$FO,88,FALSE))</f>
        <v>153472</v>
      </c>
      <c r="AZ25" s="7">
        <f>IF(VLOOKUP($B25,'[1]Cost Analysis'!$C:$FO,89,FALSE)=0,"",VLOOKUP($B25,'[1]Cost Analysis'!$C:$FO,89,FALSE))</f>
        <v>69500</v>
      </c>
      <c r="BA25" s="7">
        <f>IF(VLOOKUP($B25,'[1]Cost Analysis'!$C:$FO,90,FALSE)=0,"",VLOOKUP($B25,'[1]Cost Analysis'!$C:$FO,90,FALSE))</f>
        <v>39415</v>
      </c>
      <c r="BB25" s="7">
        <f>IF(VLOOKUP($B25,'[1]Cost Analysis'!$C:$FO,91,FALSE)=0,"",VLOOKUP($B25,'[1]Cost Analysis'!$C:$FO,91,FALSE))</f>
        <v>41750</v>
      </c>
      <c r="BC25" s="7" t="str">
        <f>IF(VLOOKUP($B25,'[1]Cost Analysis'!$C:$FO,92,FALSE)=0,"",VLOOKUP($B25,'[1]Cost Analysis'!$C:$FO,92,FALSE))</f>
        <v/>
      </c>
      <c r="BD25" s="7" t="str">
        <f>IF(VLOOKUP($B25,'[1]Cost Analysis'!$C:$FO,93,FALSE)=0,"",VLOOKUP($B25,'[1]Cost Analysis'!$C:$FO,93,FALSE))</f>
        <v/>
      </c>
      <c r="BE25" s="7">
        <f>IF(VLOOKUP($B25,'[1]Cost Analysis'!$C:$FO,94,FALSE)=0,"",VLOOKUP($B25,'[1]Cost Analysis'!$C:$FO,94,FALSE))</f>
        <v>423479.42</v>
      </c>
      <c r="BF25" s="7">
        <f>IF(VLOOKUP($B25,'[1]Cost Analysis'!$C:$FO,95,FALSE)=0,"",VLOOKUP($B25,'[1]Cost Analysis'!$C:$FO,95,FALSE))</f>
        <v>7052230.21</v>
      </c>
      <c r="BG25" s="7">
        <f>IF(VLOOKUP($B25,'[1]Cost Analysis'!$C:$FO,96,FALSE)=0,"",VLOOKUP($B25,'[1]Cost Analysis'!$C:$FO,96,FALSE))</f>
        <v>10883992.34</v>
      </c>
      <c r="BH25" s="7">
        <f>IF(VLOOKUP($B25,'[1]Cost Analysis'!$C:$FO,97,FALSE)=0,"",VLOOKUP($B25,'[1]Cost Analysis'!$C:$FO,97,FALSE))</f>
        <v>-6400</v>
      </c>
      <c r="BI25" s="7" t="str">
        <f>IF(VLOOKUP($B25,'[1]Cost Analysis'!$C:$FO,98,FALSE)=0,"",VLOOKUP($B25,'[1]Cost Analysis'!$C:$FO,98,FALSE))</f>
        <v/>
      </c>
      <c r="BJ25" s="7" t="str">
        <f>IF(VLOOKUP($B25,'[1]Cost Analysis'!$C:$FO,99,FALSE)=0,"",VLOOKUP($B25,'[1]Cost Analysis'!$C:$FO,99,FALSE))</f>
        <v/>
      </c>
      <c r="BK25" s="7" t="str">
        <f>IF(VLOOKUP($B25,'[1]Cost Analysis'!$C:$FO,100,FALSE)=0,"",VLOOKUP($B25,'[1]Cost Analysis'!$C:$FO,100,FALSE))</f>
        <v/>
      </c>
      <c r="BL25" s="7" t="str">
        <f>IF(VLOOKUP($B25,'[1]Cost Analysis'!$C:$FO,101,FALSE)=0,"",VLOOKUP($B25,'[1]Cost Analysis'!$C:$FO,101,FALSE))</f>
        <v/>
      </c>
      <c r="BM25" s="7" t="str">
        <f>IF(VLOOKUP($B25,'[1]Cost Analysis'!$C:$FO,102,FALSE)=0,"",VLOOKUP($B25,'[1]Cost Analysis'!$C:$FO,102,FALSE))</f>
        <v/>
      </c>
      <c r="BN25" s="7" t="str">
        <f>IF(VLOOKUP($B25,'[1]Cost Analysis'!$C:$FO,103,FALSE)=0,"",VLOOKUP($B25,'[1]Cost Analysis'!$C:$FO,103,FALSE))</f>
        <v/>
      </c>
      <c r="BO25" s="7">
        <f>IF(VLOOKUP($B25,'[1]Cost Analysis'!$C:$FO,104,FALSE)=0,"",VLOOKUP($B25,'[1]Cost Analysis'!$C:$FO,104,FALSE))</f>
        <v>-6400</v>
      </c>
      <c r="BP25" s="7">
        <f>IF(VLOOKUP($B25,'[1]Cost Analysis'!$C:$FO,105,FALSE)=0,"",VLOOKUP($B25,'[1]Cost Analysis'!$C:$FO,105,FALSE))</f>
        <v>-167458.5</v>
      </c>
      <c r="BQ25" s="7" t="str">
        <f>IF(VLOOKUP($B25,'[1]Cost Analysis'!$C:$FO,106,FALSE)=0,"",VLOOKUP($B25,'[1]Cost Analysis'!$C:$FO,106,FALSE))</f>
        <v/>
      </c>
      <c r="BR25" s="7">
        <f>IF(VLOOKUP($B25,'[1]Cost Analysis'!$C:$FO,107,FALSE)=0,"",VLOOKUP($B25,'[1]Cost Analysis'!$C:$FO,107,FALSE))</f>
        <v>-19088</v>
      </c>
      <c r="BS25" s="7" t="str">
        <f>IF(VLOOKUP($B25,'[1]Cost Analysis'!$C:$FO,108,FALSE)=0,"",VLOOKUP($B25,'[1]Cost Analysis'!$C:$FO,108,FALSE))</f>
        <v/>
      </c>
      <c r="BT25" s="7" t="str">
        <f>IF(VLOOKUP($B25,'[1]Cost Analysis'!$C:$FO,109,FALSE)=0,"",VLOOKUP($B25,'[1]Cost Analysis'!$C:$FO,109,FALSE))</f>
        <v/>
      </c>
      <c r="BU25" s="7" t="str">
        <f>IF(VLOOKUP($B25,'[1]Cost Analysis'!$C:$FO,110,FALSE)=0,"",VLOOKUP($B25,'[1]Cost Analysis'!$C:$FO,110,FALSE))</f>
        <v/>
      </c>
      <c r="BV25" s="7">
        <f>IF(VLOOKUP($B25,'[1]Cost Analysis'!$C:$FO,111,FALSE)=0,"",VLOOKUP($B25,'[1]Cost Analysis'!$C:$FO,111,FALSE))</f>
        <v>-19088</v>
      </c>
      <c r="BW25" s="7">
        <f>IF(VLOOKUP($B25,'[1]Cost Analysis'!$C:$FO,112,FALSE)=0,"",VLOOKUP($B25,'[1]Cost Analysis'!$C:$FO,112,FALSE))</f>
        <v>9839806.7699999996</v>
      </c>
      <c r="BX25" s="7">
        <f>IF(VLOOKUP($B25,'[1]Cost Analysis'!$C:$FO,125,FALSE)=0,"",VLOOKUP($B25,'[1]Cost Analysis'!$C:$FO,125,FALSE))</f>
        <v>360832</v>
      </c>
      <c r="BY25" s="7">
        <f>IF(VLOOKUP($B25,'[1]Cost Analysis'!$C:$FO,126,FALSE)=0,"",VLOOKUP($B25,'[1]Cost Analysis'!$C:$FO,126,FALSE))</f>
        <v>1711465</v>
      </c>
      <c r="BZ25" s="7">
        <f>IF(VLOOKUP($B25,'[1]Cost Analysis'!$C:$FO,127,FALSE)=0,"",VLOOKUP($B25,'[1]Cost Analysis'!$C:$FO,127,FALSE))</f>
        <v>230200</v>
      </c>
      <c r="CA25" s="7">
        <f>IF(VLOOKUP($B25,'[1]Cost Analysis'!$C:$FO,128,FALSE)=0,"",VLOOKUP($B25,'[1]Cost Analysis'!$C:$FO,128,FALSE))</f>
        <v>69500</v>
      </c>
      <c r="CB25" s="7" t="str">
        <f>IF(VLOOKUP($B25,'[1]Cost Analysis'!$C:$FO,129,FALSE)=0,"",VLOOKUP($B25,'[1]Cost Analysis'!$C:$FO,129,FALSE))</f>
        <v/>
      </c>
      <c r="CC25" s="7">
        <f>IF(VLOOKUP($B25,'[1]Cost Analysis'!$C:$FO,130,FALSE)=0,"",VLOOKUP($B25,'[1]Cost Analysis'!$C:$FO,130,FALSE))</f>
        <v>41750</v>
      </c>
      <c r="CD25" s="7" t="str">
        <f>IF(VLOOKUP($B25,'[1]Cost Analysis'!$C:$FO,131,FALSE)=0,"",VLOOKUP($B25,'[1]Cost Analysis'!$C:$FO,131,FALSE))</f>
        <v/>
      </c>
      <c r="CE25" s="7" t="str">
        <f>IF(VLOOKUP($B25,'[1]Cost Analysis'!$C:$FO,132,FALSE)=0,"",VLOOKUP($B25,'[1]Cost Analysis'!$C:$FO,132,FALSE))</f>
        <v/>
      </c>
      <c r="CF25" s="7" t="str">
        <f>IF(VLOOKUP($B25,'[1]Cost Analysis'!$C:$FO,133,FALSE)=0,"",VLOOKUP($B25,'[1]Cost Analysis'!$C:$FO,133,FALSE))</f>
        <v/>
      </c>
      <c r="CG25" s="7">
        <f>IF(VLOOKUP($B25,'[1]Cost Analysis'!$C:$FO,134,FALSE)=0,"",VLOOKUP($B25,'[1]Cost Analysis'!$C:$FO,134,FALSE))</f>
        <v>6437333</v>
      </c>
      <c r="CH25" s="7">
        <f>IF(VLOOKUP($B25,'[1]Cost Analysis'!$C:$FO,135,FALSE)=0,"",VLOOKUP($B25,'[1]Cost Analysis'!$C:$FO,135,FALSE))</f>
        <v>8851080</v>
      </c>
      <c r="CI25" s="7" t="str">
        <f>IF(VLOOKUP($B25,'[1]Cost Analysis'!$C:$FO,136,FALSE)=0,"",VLOOKUP($B25,'[1]Cost Analysis'!$C:$FO,136,FALSE))</f>
        <v/>
      </c>
      <c r="CJ25" s="7" t="str">
        <f>IF(VLOOKUP($B25,'[1]Cost Analysis'!$C:$FO,137,FALSE)=0,"",VLOOKUP($B25,'[1]Cost Analysis'!$C:$FO,137,FALSE))</f>
        <v/>
      </c>
      <c r="CK25" s="7" t="str">
        <f>IF(VLOOKUP($B25,'[1]Cost Analysis'!$C:$FO,138,FALSE)=0,"",VLOOKUP($B25,'[1]Cost Analysis'!$C:$FO,138,FALSE))</f>
        <v/>
      </c>
      <c r="CL25" s="7">
        <f>IF(VLOOKUP($B25,'[1]Cost Analysis'!$C:$FO,139,FALSE)=0,"",VLOOKUP($B25,'[1]Cost Analysis'!$C:$FO,139,FALSE))</f>
        <v>8851080</v>
      </c>
    </row>
    <row r="26" spans="1:90" ht="30" x14ac:dyDescent="0.25">
      <c r="A26" s="13" t="s">
        <v>31</v>
      </c>
      <c r="B26" s="13" t="s">
        <v>34</v>
      </c>
      <c r="C26" s="19" t="str">
        <f>VLOOKUP($B26,'[1]Cost Analysis'!$C:$FO,7,FALSE)</f>
        <v>Milestone 2</v>
      </c>
      <c r="D26" s="19" t="str">
        <f>VLOOKUP($B26,'[1]Cost Analysis'!$C:$FO,8,FALSE)</f>
        <v>Under Construction</v>
      </c>
      <c r="E26" s="18">
        <f>IF(ISERROR(VLOOKUP($B26,'[1]Cost Analysis'!$C:$FO,9,FALSE)),"",VLOOKUP($B26,'[1]Cost Analysis'!$C:$FO,9,FALSE))</f>
        <v>10547313</v>
      </c>
      <c r="F26" s="17">
        <f>IF(ISERROR(VLOOKUP($B26,'[1]Cost Analysis'!$C:$FO,10,FALSE)),"",VLOOKUP($B26,'[1]Cost Analysis'!$C:$FO,10,FALSE))</f>
        <v>166.57158875552747</v>
      </c>
      <c r="G26" s="9">
        <f>IF(ISERROR(VLOOKUP($B26,'[1]Cost Analysis'!$C:$FO,12,FALSE)),"",VLOOKUP($B26,'[1]Cost Analysis'!$C:$FO,12,FALSE))</f>
        <v>1683313</v>
      </c>
      <c r="H26" s="17">
        <f>IF(ISERROR(VLOOKUP($B26,'[1]Cost Analysis'!$C:$FO,13,FALSE)),"",VLOOKUP($B26,'[1]Cost Analysis'!$C:$FO,13,FALSE))</f>
        <v>26.584222994314594</v>
      </c>
      <c r="I26" s="16">
        <f>IF(ISERROR(VLOOKUP($B26,'[1]Cost Analysis'!$C:$FO,14,FALSE)),"",VLOOKUP($B26,'[1]Cost Analysis'!$C:$FO,14,FALSE))</f>
        <v>0.15959638250993405</v>
      </c>
      <c r="J26" s="18">
        <f>IF(ISERROR(VLOOKUP($B26,'[1]Cost Analysis'!$C:$FO,15,FALSE)),"",VLOOKUP($B26,'[1]Cost Analysis'!$C:$FO,15,FALSE))</f>
        <v>1378440</v>
      </c>
      <c r="K26" s="16">
        <f>IF(ISERROR(VLOOKUP($B26,'[1]Cost Analysis'!$C:$FO,16,FALSE)),"",VLOOKUP($B26,'[1]Cost Analysis'!$C:$FO,16,FALSE))</f>
        <v>0.1306911058769186</v>
      </c>
      <c r="L26" s="17">
        <f>IF(ISERROR(VLOOKUP($B26,'[1]Cost Analysis'!$C:$FO,17,FALSE)),"",VLOOKUP($B26,'[1]Cost Analysis'!$C:$FO,17,FALSE))</f>
        <v>304873</v>
      </c>
      <c r="M26" s="17">
        <f>IF(ISERROR(VLOOKUP($B26,'[1]Cost Analysis'!$C:$FO,18,FALSE)),"",VLOOKUP($B26,'[1]Cost Analysis'!$C:$FO,18,FALSE))</f>
        <v>5.5386501676557121</v>
      </c>
      <c r="N26" s="16">
        <f>IF(ISERROR(VLOOKUP($B26,'[1]Cost Analysis'!$C:$FO,19,FALSE)),"",VLOOKUP($B26,'[1]Cost Analysis'!$C:$FO,19,FALSE))</f>
        <v>3.3250869545253817E-2</v>
      </c>
      <c r="O26" s="11">
        <f>IF(ISERROR(VLOOKUP($B26,'[1]Cost Analysis'!$C:$FO,36,FALSE)),"",VLOOKUP($B26,'[1]Cost Analysis'!$C:$FO,36,FALSE))</f>
        <v>1010475</v>
      </c>
      <c r="P26" s="13" t="str">
        <f>IF(ISERROR(VLOOKUP($B26,'[1]Cost Analysis'!$C:$FO,37,FALSE)),"",VLOOKUP($B26,'[1]Cost Analysis'!$C:$FO,37,FALSE))</f>
        <v>Onsite Solar electric (PV) Owned</v>
      </c>
      <c r="Q26" s="11">
        <f>VLOOKUP($B26,'[1]Cost Analysis'!$C:$FO,39,FALSE)</f>
        <v>63320</v>
      </c>
      <c r="R26" s="11">
        <f>VLOOKUP($B26,'[1]Cost Analysis'!$C:$FO,40,FALSE)</f>
        <v>54860</v>
      </c>
      <c r="S26" s="13">
        <f>VLOOKUP($B26,'[1]Cost Analysis'!$C:$FO,41,FALSE)</f>
        <v>1</v>
      </c>
      <c r="T26" s="13">
        <f>VLOOKUP($B26,'[1]Cost Analysis'!$C:$FO,42,FALSE)</f>
        <v>4</v>
      </c>
      <c r="U26" s="13">
        <f>VLOOKUP($B26,'[1]Cost Analysis'!$C:$FO,43,FALSE)</f>
        <v>46</v>
      </c>
      <c r="V26" s="13" t="str">
        <f>VLOOKUP($B26,'[1]Cost Analysis'!$C:$FO,44,FALSE)</f>
        <v>ERI</v>
      </c>
      <c r="W26" s="13" t="str">
        <f>VLOOKUP($B26,'[1]Cost Analysis'!$C:$FO,45,FALSE)</f>
        <v>Mid Hudson</v>
      </c>
      <c r="X26" s="15" t="str">
        <f>VLOOKUP($B26,'[1]Cost Analysis'!$C:$FO,46,FALSE)</f>
        <v>All Electric</v>
      </c>
      <c r="Y26" s="14" t="str">
        <f>VLOOKUP($B26,'[1]Cost Analysis'!$C:$FO,47,FALSE)</f>
        <v>Market Rate</v>
      </c>
      <c r="Z26" s="13" t="str">
        <f>VLOOKUP($B26,'[1]Cost Analysis'!$C:$FO,48,FALSE)</f>
        <v>Yes</v>
      </c>
      <c r="AA26" s="13" t="str">
        <f>VLOOKUP($B26,'[1]Cost Analysis'!$C:$FO,49,FALSE)</f>
        <v>ICF and Concrete Deck</v>
      </c>
      <c r="AB26" s="13" t="str">
        <f>VLOOKUP($B26,'[1]Cost Analysis'!$C:$FO,50,FALSE)</f>
        <v>GSHP</v>
      </c>
      <c r="AC26" s="13" t="str">
        <f>VLOOKUP($B26,'[1]Cost Analysis'!$C:$FO,51,FALSE)</f>
        <v>ERV</v>
      </c>
      <c r="AD26" s="13" t="str">
        <f>VLOOKUP($B26,'[1]Cost Analysis'!$C:$FO,52,FALSE)</f>
        <v>GSHP</v>
      </c>
      <c r="AE26" s="13" t="str">
        <f>VLOOKUP($B26,'[1]Cost Analysis'!$C:$FO,53,FALSE)</f>
        <v>Yes</v>
      </c>
      <c r="AF26" s="13" t="str">
        <f>VLOOKUP($B26,'[1]Cost Analysis'!$C:$FO,54,FALSE)</f>
        <v>Mid Rise</v>
      </c>
      <c r="AG26" s="13" t="str">
        <f>IF(VLOOKUP($B26,'[1]Cost Analysis'!$C:$FO,55,FALSE)="PV","Yes","No")</f>
        <v>Yes</v>
      </c>
      <c r="AH26" s="13" t="str">
        <f>VLOOKUP($B26,'[1]Cost Analysis'!$C:$FO,57,FALSE)</f>
        <v>Yes</v>
      </c>
      <c r="AI26" s="13" t="str">
        <f>VLOOKUP($B26,'[1]Cost Analysis'!$C:$FO,58,FALSE)</f>
        <v>No</v>
      </c>
      <c r="AJ26" s="13" t="str">
        <f>VLOOKUP($B26,'[1]Cost Analysis'!$C:$FO,59,FALSE)</f>
        <v>No</v>
      </c>
      <c r="AK26" s="13">
        <f>VLOOKUP($B26,'[1]Cost Analysis'!$C:$FO,60,FALSE)</f>
        <v>5</v>
      </c>
      <c r="AL26" s="13" t="str">
        <f>VLOOKUP($B26,'[1]Cost Analysis'!$C:$FO,61,FALSE)</f>
        <v>No</v>
      </c>
      <c r="AM26" s="13" t="str">
        <f>VLOOKUP($B26,'[1]Cost Analysis'!$C:$FO,62,FALSE)</f>
        <v>NC</v>
      </c>
      <c r="AN26" s="12" t="str">
        <f>VLOOKUP($B26,'[1]Cost Analysis'!$C:$FO,63,FALSE)</f>
        <v>2016 ECCC of NYS</v>
      </c>
      <c r="AO26" s="12" t="str">
        <f>VLOOKUP($B26,'[1]Cost Analysis'!$C:$FO,67,FALSE)</f>
        <v>No</v>
      </c>
      <c r="AP26" s="12" t="str">
        <f>VLOOKUP($B26,'[1]Cost Analysis'!$C:$FO,69,FALSE)</f>
        <v>Yes</v>
      </c>
      <c r="AQ26" s="11">
        <f>VLOOKUP($B26,'[1]Cost Analysis'!$C:$FO,74,FALSE)</f>
        <v>1010475</v>
      </c>
      <c r="AR26" s="11">
        <f>VLOOKUP($B26,'[1]Cost Analysis'!$C:$FO,75,FALSE)</f>
        <v>0</v>
      </c>
      <c r="AS26" s="10">
        <f>IF(ISERROR(VLOOKUP($B26,'[1]Cost Analysis'!$C:$FO,76,FALSE)),"",VLOOKUP($B26,'[1]Cost Analysis'!$C:$FO,76,FALSE))</f>
        <v>1</v>
      </c>
      <c r="AT26" s="9">
        <f>VLOOKUP($B26,'[1]Cost Analysis'!$C:$FO,78,FALSE)</f>
        <v>-258.68</v>
      </c>
      <c r="AU26" s="9">
        <f>VLOOKUP($B26,'[1]Cost Analysis'!$C:$FO,82,FALSE)</f>
        <v>-4.7152752460809331E-3</v>
      </c>
      <c r="AV26" s="8">
        <f>VLOOKUP($B26,'[1]Cost Analysis'!$C:$FO,83,FALSE)</f>
        <v>0</v>
      </c>
      <c r="AW26" s="7">
        <f>IF(VLOOKUP($B26,'[1]Cost Analysis'!$C:$FO,86,FALSE)=0,"",VLOOKUP($B26,'[1]Cost Analysis'!$C:$FO,86,FALSE))</f>
        <v>1100000</v>
      </c>
      <c r="AX26" s="7">
        <f>IF(VLOOKUP($B26,'[1]Cost Analysis'!$C:$FO,87,FALSE)=0,"",VLOOKUP($B26,'[1]Cost Analysis'!$C:$FO,87,FALSE))</f>
        <v>1101500</v>
      </c>
      <c r="AY26" s="7">
        <f>IF(VLOOKUP($B26,'[1]Cost Analysis'!$C:$FO,88,FALSE)=0,"",VLOOKUP($B26,'[1]Cost Analysis'!$C:$FO,88,FALSE))</f>
        <v>50000</v>
      </c>
      <c r="AZ26" s="7">
        <f>IF(VLOOKUP($B26,'[1]Cost Analysis'!$C:$FO,89,FALSE)=0,"",VLOOKUP($B26,'[1]Cost Analysis'!$C:$FO,89,FALSE))</f>
        <v>110630</v>
      </c>
      <c r="BA26" s="7">
        <f>IF(VLOOKUP($B26,'[1]Cost Analysis'!$C:$FO,90,FALSE)=0,"",VLOOKUP($B26,'[1]Cost Analysis'!$C:$FO,90,FALSE))</f>
        <v>475000</v>
      </c>
      <c r="BB26" s="7">
        <f>IF(VLOOKUP($B26,'[1]Cost Analysis'!$C:$FO,91,FALSE)=0,"",VLOOKUP($B26,'[1]Cost Analysis'!$C:$FO,91,FALSE))</f>
        <v>10000</v>
      </c>
      <c r="BC26" s="7">
        <f>IF(VLOOKUP($B26,'[1]Cost Analysis'!$C:$FO,92,FALSE)=0,"",VLOOKUP($B26,'[1]Cost Analysis'!$C:$FO,92,FALSE))</f>
        <v>215000</v>
      </c>
      <c r="BD26" s="7">
        <f>IF(VLOOKUP($B26,'[1]Cost Analysis'!$C:$FO,93,FALSE)=0,"",VLOOKUP($B26,'[1]Cost Analysis'!$C:$FO,93,FALSE))</f>
        <v>45000</v>
      </c>
      <c r="BE26" s="7" t="str">
        <f>IF(VLOOKUP($B26,'[1]Cost Analysis'!$C:$FO,94,FALSE)=0,"",VLOOKUP($B26,'[1]Cost Analysis'!$C:$FO,94,FALSE))</f>
        <v/>
      </c>
      <c r="BF26" s="7">
        <f>IF(VLOOKUP($B26,'[1]Cost Analysis'!$C:$FO,95,FALSE)=0,"",VLOOKUP($B26,'[1]Cost Analysis'!$C:$FO,95,FALSE))</f>
        <v>7440183</v>
      </c>
      <c r="BG26" s="7">
        <f>IF(VLOOKUP($B26,'[1]Cost Analysis'!$C:$FO,96,FALSE)=0,"",VLOOKUP($B26,'[1]Cost Analysis'!$C:$FO,96,FALSE))</f>
        <v>10547313</v>
      </c>
      <c r="BH26" s="7">
        <f>IF(VLOOKUP($B26,'[1]Cost Analysis'!$C:$FO,97,FALSE)=0,"",VLOOKUP($B26,'[1]Cost Analysis'!$C:$FO,97,FALSE))</f>
        <v>-110700</v>
      </c>
      <c r="BI26" s="7">
        <f>IF(VLOOKUP($B26,'[1]Cost Analysis'!$C:$FO,98,FALSE)=0,"",VLOOKUP($B26,'[1]Cost Analysis'!$C:$FO,98,FALSE))</f>
        <v>-15000</v>
      </c>
      <c r="BJ26" s="7" t="str">
        <f>IF(VLOOKUP($B26,'[1]Cost Analysis'!$C:$FO,99,FALSE)=0,"",VLOOKUP($B26,'[1]Cost Analysis'!$C:$FO,99,FALSE))</f>
        <v/>
      </c>
      <c r="BK26" s="7" t="str">
        <f>IF(VLOOKUP($B26,'[1]Cost Analysis'!$C:$FO,100,FALSE)=0,"",VLOOKUP($B26,'[1]Cost Analysis'!$C:$FO,100,FALSE))</f>
        <v/>
      </c>
      <c r="BL26" s="7">
        <f>IF(VLOOKUP($B26,'[1]Cost Analysis'!$C:$FO,101,FALSE)=0,"",VLOOKUP($B26,'[1]Cost Analysis'!$C:$FO,101,FALSE))</f>
        <v>-109340</v>
      </c>
      <c r="BM26" s="7">
        <f>IF(VLOOKUP($B26,'[1]Cost Analysis'!$C:$FO,102,FALSE)=0,"",VLOOKUP($B26,'[1]Cost Analysis'!$C:$FO,102,FALSE))</f>
        <v>-80000</v>
      </c>
      <c r="BN26" s="7" t="str">
        <f>IF(VLOOKUP($B26,'[1]Cost Analysis'!$C:$FO,103,FALSE)=0,"",VLOOKUP($B26,'[1]Cost Analysis'!$C:$FO,103,FALSE))</f>
        <v/>
      </c>
      <c r="BO26" s="7">
        <f>IF(VLOOKUP($B26,'[1]Cost Analysis'!$C:$FO,104,FALSE)=0,"",VLOOKUP($B26,'[1]Cost Analysis'!$C:$FO,104,FALSE))</f>
        <v>-315040</v>
      </c>
      <c r="BP26" s="7">
        <f>IF(VLOOKUP($B26,'[1]Cost Analysis'!$C:$FO,105,FALSE)=0,"",VLOOKUP($B26,'[1]Cost Analysis'!$C:$FO,105,FALSE))</f>
        <v>-750000</v>
      </c>
      <c r="BQ26" s="7" t="str">
        <f>IF(VLOOKUP($B26,'[1]Cost Analysis'!$C:$FO,106,FALSE)=0,"",VLOOKUP($B26,'[1]Cost Analysis'!$C:$FO,106,FALSE))</f>
        <v/>
      </c>
      <c r="BR26" s="7">
        <f>IF(VLOOKUP($B26,'[1]Cost Analysis'!$C:$FO,107,FALSE)=0,"",VLOOKUP($B26,'[1]Cost Analysis'!$C:$FO,107,FALSE))</f>
        <v>-104000</v>
      </c>
      <c r="BS26" s="7">
        <f>IF(VLOOKUP($B26,'[1]Cost Analysis'!$C:$FO,108,FALSE)=0,"",VLOOKUP($B26,'[1]Cost Analysis'!$C:$FO,108,FALSE))</f>
        <v>-85000</v>
      </c>
      <c r="BT26" s="7">
        <f>IF(VLOOKUP($B26,'[1]Cost Analysis'!$C:$FO,109,FALSE)=0,"",VLOOKUP($B26,'[1]Cost Analysis'!$C:$FO,109,FALSE))</f>
        <v>-32400</v>
      </c>
      <c r="BU26" s="7">
        <f>IF(VLOOKUP($B26,'[1]Cost Analysis'!$C:$FO,110,FALSE)=0,"",VLOOKUP($B26,'[1]Cost Analysis'!$C:$FO,110,FALSE))</f>
        <v>-92000</v>
      </c>
      <c r="BV26" s="7">
        <f>IF(VLOOKUP($B26,'[1]Cost Analysis'!$C:$FO,111,FALSE)=0,"",VLOOKUP($B26,'[1]Cost Analysis'!$C:$FO,111,FALSE))</f>
        <v>-313400</v>
      </c>
      <c r="BW26" s="7">
        <f>IF(VLOOKUP($B26,'[1]Cost Analysis'!$C:$FO,112,FALSE)=0,"",VLOOKUP($B26,'[1]Cost Analysis'!$C:$FO,112,FALSE))</f>
        <v>9168873</v>
      </c>
      <c r="BX26" s="7">
        <f>IF(VLOOKUP($B26,'[1]Cost Analysis'!$C:$FO,125,FALSE)=0,"",VLOOKUP($B26,'[1]Cost Analysis'!$C:$FO,125,FALSE))</f>
        <v>876000</v>
      </c>
      <c r="BY26" s="7">
        <f>IF(VLOOKUP($B26,'[1]Cost Analysis'!$C:$FO,126,FALSE)=0,"",VLOOKUP($B26,'[1]Cost Analysis'!$C:$FO,126,FALSE))</f>
        <v>752000</v>
      </c>
      <c r="BZ26" s="7">
        <f>IF(VLOOKUP($B26,'[1]Cost Analysis'!$C:$FO,127,FALSE)=0,"",VLOOKUP($B26,'[1]Cost Analysis'!$C:$FO,127,FALSE))</f>
        <v>41000</v>
      </c>
      <c r="CA26" s="7">
        <f>IF(VLOOKUP($B26,'[1]Cost Analysis'!$C:$FO,128,FALSE)=0,"",VLOOKUP($B26,'[1]Cost Analysis'!$C:$FO,128,FALSE))</f>
        <v>74000</v>
      </c>
      <c r="CB26" s="7">
        <f>IF(VLOOKUP($B26,'[1]Cost Analysis'!$C:$FO,129,FALSE)=0,"",VLOOKUP($B26,'[1]Cost Analysis'!$C:$FO,129,FALSE))</f>
        <v>75000</v>
      </c>
      <c r="CC26" s="7">
        <f>IF(VLOOKUP($B26,'[1]Cost Analysis'!$C:$FO,130,FALSE)=0,"",VLOOKUP($B26,'[1]Cost Analysis'!$C:$FO,130,FALSE))</f>
        <v>32000</v>
      </c>
      <c r="CD26" s="7" t="str">
        <f>IF(VLOOKUP($B26,'[1]Cost Analysis'!$C:$FO,131,FALSE)=0,"",VLOOKUP($B26,'[1]Cost Analysis'!$C:$FO,131,FALSE))</f>
        <v/>
      </c>
      <c r="CE26" s="7">
        <f>IF(VLOOKUP($B26,'[1]Cost Analysis'!$C:$FO,132,FALSE)=0,"",VLOOKUP($B26,'[1]Cost Analysis'!$C:$FO,132,FALSE))</f>
        <v>14000</v>
      </c>
      <c r="CF26" s="7" t="str">
        <f>IF(VLOOKUP($B26,'[1]Cost Analysis'!$C:$FO,133,FALSE)=0,"",VLOOKUP($B26,'[1]Cost Analysis'!$C:$FO,133,FALSE))</f>
        <v/>
      </c>
      <c r="CG26" s="7">
        <f>IF(VLOOKUP($B26,'[1]Cost Analysis'!$C:$FO,134,FALSE)=0,"",VLOOKUP($B26,'[1]Cost Analysis'!$C:$FO,134,FALSE))</f>
        <v>7000000</v>
      </c>
      <c r="CH26" s="7">
        <f>IF(VLOOKUP($B26,'[1]Cost Analysis'!$C:$FO,135,FALSE)=0,"",VLOOKUP($B26,'[1]Cost Analysis'!$C:$FO,135,FALSE))</f>
        <v>8864000</v>
      </c>
      <c r="CI26" s="7" t="str">
        <f>IF(VLOOKUP($B26,'[1]Cost Analysis'!$C:$FO,136,FALSE)=0,"",VLOOKUP($B26,'[1]Cost Analysis'!$C:$FO,136,FALSE))</f>
        <v/>
      </c>
      <c r="CJ26" s="7" t="str">
        <f>IF(VLOOKUP($B26,'[1]Cost Analysis'!$C:$FO,137,FALSE)=0,"",VLOOKUP($B26,'[1]Cost Analysis'!$C:$FO,137,FALSE))</f>
        <v/>
      </c>
      <c r="CK26" s="7" t="str">
        <f>IF(VLOOKUP($B26,'[1]Cost Analysis'!$C:$FO,138,FALSE)=0,"",VLOOKUP($B26,'[1]Cost Analysis'!$C:$FO,138,FALSE))</f>
        <v/>
      </c>
      <c r="CL26" s="7">
        <f>IF(VLOOKUP($B26,'[1]Cost Analysis'!$C:$FO,139,FALSE)=0,"",VLOOKUP($B26,'[1]Cost Analysis'!$C:$FO,139,FALSE))</f>
        <v>8864000</v>
      </c>
    </row>
    <row r="27" spans="1:90" ht="30" x14ac:dyDescent="0.25">
      <c r="A27" s="13" t="s">
        <v>31</v>
      </c>
      <c r="B27" s="13" t="s">
        <v>33</v>
      </c>
      <c r="C27" s="19" t="str">
        <f>VLOOKUP($B27,'[1]Cost Analysis'!$C:$FO,7,FALSE)</f>
        <v>Milestone 2</v>
      </c>
      <c r="D27" s="19" t="str">
        <f>VLOOKUP($B27,'[1]Cost Analysis'!$C:$FO,8,FALSE)</f>
        <v>Under Construction</v>
      </c>
      <c r="E27" s="18">
        <f>IF(ISERROR(VLOOKUP($B27,'[1]Cost Analysis'!$C:$FO,9,FALSE)),"",VLOOKUP($B27,'[1]Cost Analysis'!$C:$FO,9,FALSE))</f>
        <v>71166118.189999998</v>
      </c>
      <c r="F27" s="17">
        <f>IF(ISERROR(VLOOKUP($B27,'[1]Cost Analysis'!$C:$FO,10,FALSE)),"",VLOOKUP($B27,'[1]Cost Analysis'!$C:$FO,10,FALSE))</f>
        <v>374.16269204683465</v>
      </c>
      <c r="G27" s="9">
        <f>IF(ISERROR(VLOOKUP($B27,'[1]Cost Analysis'!$C:$FO,12,FALSE)),"",VLOOKUP($B27,'[1]Cost Analysis'!$C:$FO,12,FALSE))</f>
        <v>3577646</v>
      </c>
      <c r="H27" s="17">
        <f>IF(ISERROR(VLOOKUP($B27,'[1]Cost Analysis'!$C:$FO,13,FALSE)),"",VLOOKUP($B27,'[1]Cost Analysis'!$C:$FO,13,FALSE))</f>
        <v>18.809816983086314</v>
      </c>
      <c r="I27" s="16">
        <f>IF(ISERROR(VLOOKUP($B27,'[1]Cost Analysis'!$C:$FO,14,FALSE)),"",VLOOKUP($B27,'[1]Cost Analysis'!$C:$FO,14,FALSE))</f>
        <v>5.0271759806378165E-2</v>
      </c>
      <c r="J27" s="18">
        <f>IF(ISERROR(VLOOKUP($B27,'[1]Cost Analysis'!$C:$FO,15,FALSE)),"",VLOOKUP($B27,'[1]Cost Analysis'!$C:$FO,15,FALSE))</f>
        <v>1150000</v>
      </c>
      <c r="K27" s="16">
        <f>IF(ISERROR(VLOOKUP($B27,'[1]Cost Analysis'!$C:$FO,16,FALSE)),"",VLOOKUP($B27,'[1]Cost Analysis'!$C:$FO,16,FALSE))</f>
        <v>1.6159375124686706E-2</v>
      </c>
      <c r="L27" s="17">
        <f>IF(ISERROR(VLOOKUP($B27,'[1]Cost Analysis'!$C:$FO,17,FALSE)),"",VLOOKUP($B27,'[1]Cost Analysis'!$C:$FO,17,FALSE))</f>
        <v>2427646</v>
      </c>
      <c r="M27" s="17">
        <f>IF(ISERROR(VLOOKUP($B27,'[1]Cost Analysis'!$C:$FO,18,FALSE)),"",VLOOKUP($B27,'[1]Cost Analysis'!$C:$FO,18,FALSE))</f>
        <v>12.973220826550509</v>
      </c>
      <c r="N27" s="16">
        <f>IF(ISERROR(VLOOKUP($B27,'[1]Cost Analysis'!$C:$FO,19,FALSE)),"",VLOOKUP($B27,'[1]Cost Analysis'!$C:$FO,19,FALSE))</f>
        <v>3.4672673418029147E-2</v>
      </c>
      <c r="O27" s="11">
        <f>IF(ISERROR(VLOOKUP($B27,'[1]Cost Analysis'!$C:$FO,36,FALSE)),"",VLOOKUP($B27,'[1]Cost Analysis'!$C:$FO,36,FALSE))</f>
        <v>387679</v>
      </c>
      <c r="P27" s="13" t="str">
        <f>IF(ISERROR(VLOOKUP($B27,'[1]Cost Analysis'!$C:$FO,37,FALSE)),"",VLOOKUP($B27,'[1]Cost Analysis'!$C:$FO,37,FALSE))</f>
        <v>Onsite Solar electric (PV) Owned</v>
      </c>
      <c r="Q27" s="11">
        <f>VLOOKUP($B27,'[1]Cost Analysis'!$C:$FO,39,FALSE)</f>
        <v>190201</v>
      </c>
      <c r="R27" s="11">
        <f>VLOOKUP($B27,'[1]Cost Analysis'!$C:$FO,40,FALSE)</f>
        <v>180141</v>
      </c>
      <c r="S27" s="13">
        <f>VLOOKUP($B27,'[1]Cost Analysis'!$C:$FO,41,FALSE)</f>
        <v>1</v>
      </c>
      <c r="T27" s="13">
        <f>VLOOKUP($B27,'[1]Cost Analysis'!$C:$FO,42,FALSE)</f>
        <v>10</v>
      </c>
      <c r="U27" s="13">
        <f>VLOOKUP($B27,'[1]Cost Analysis'!$C:$FO,43,FALSE)</f>
        <v>184</v>
      </c>
      <c r="V27" s="13" t="str">
        <f>VLOOKUP($B27,'[1]Cost Analysis'!$C:$FO,44,FALSE)</f>
        <v>ASHRAE</v>
      </c>
      <c r="W27" s="13" t="str">
        <f>VLOOKUP($B27,'[1]Cost Analysis'!$C:$FO,45,FALSE)</f>
        <v>NYC</v>
      </c>
      <c r="X27" s="15" t="str">
        <f>VLOOKUP($B27,'[1]Cost Analysis'!$C:$FO,46,FALSE)</f>
        <v>Fossil Fuels</v>
      </c>
      <c r="Y27" s="14" t="str">
        <f>VLOOKUP($B27,'[1]Cost Analysis'!$C:$FO,47,FALSE)</f>
        <v>LMI</v>
      </c>
      <c r="Z27" s="13" t="str">
        <f>VLOOKUP($B27,'[1]Cost Analysis'!$C:$FO,48,FALSE)</f>
        <v>Yes</v>
      </c>
      <c r="AA27" s="13" t="str">
        <f>VLOOKUP($B27,'[1]Cost Analysis'!$C:$FO,49,FALSE)</f>
        <v>Block and Plank</v>
      </c>
      <c r="AB27" s="13" t="str">
        <f>VLOOKUP($B27,'[1]Cost Analysis'!$C:$FO,50,FALSE)</f>
        <v>VRF - ASHP</v>
      </c>
      <c r="AC27" s="13" t="str">
        <f>VLOOKUP($B27,'[1]Cost Analysis'!$C:$FO,51,FALSE)</f>
        <v>ERV</v>
      </c>
      <c r="AD27" s="13" t="str">
        <f>VLOOKUP($B27,'[1]Cost Analysis'!$C:$FO,52,FALSE)</f>
        <v>Fossil Fuel</v>
      </c>
      <c r="AE27" s="13" t="str">
        <f>VLOOKUP($B27,'[1]Cost Analysis'!$C:$FO,53,FALSE)</f>
        <v>Yes</v>
      </c>
      <c r="AF27" s="13" t="str">
        <f>VLOOKUP($B27,'[1]Cost Analysis'!$C:$FO,54,FALSE)</f>
        <v>Mid Rise</v>
      </c>
      <c r="AG27" s="13" t="str">
        <f>IF(VLOOKUP($B27,'[1]Cost Analysis'!$C:$FO,55,FALSE)="PV","Yes","No")</f>
        <v>Yes</v>
      </c>
      <c r="AH27" s="13" t="str">
        <f>VLOOKUP($B27,'[1]Cost Analysis'!$C:$FO,57,FALSE)</f>
        <v>No</v>
      </c>
      <c r="AI27" s="13" t="str">
        <f>VLOOKUP($B27,'[1]Cost Analysis'!$C:$FO,58,FALSE)</f>
        <v>No</v>
      </c>
      <c r="AJ27" s="13" t="str">
        <f>VLOOKUP($B27,'[1]Cost Analysis'!$C:$FO,59,FALSE)</f>
        <v>No</v>
      </c>
      <c r="AK27" s="13">
        <f>VLOOKUP($B27,'[1]Cost Analysis'!$C:$FO,60,FALSE)</f>
        <v>4</v>
      </c>
      <c r="AL27" s="13" t="str">
        <f>VLOOKUP($B27,'[1]Cost Analysis'!$C:$FO,61,FALSE)</f>
        <v>No</v>
      </c>
      <c r="AM27" s="13" t="str">
        <f>VLOOKUP($B27,'[1]Cost Analysis'!$C:$FO,62,FALSE)</f>
        <v>NC</v>
      </c>
      <c r="AN27" s="12" t="str">
        <f>VLOOKUP($B27,'[1]Cost Analysis'!$C:$FO,63,FALSE)</f>
        <v>2016 ECCC of NYS</v>
      </c>
      <c r="AO27" s="12" t="str">
        <f>VLOOKUP($B27,'[1]Cost Analysis'!$C:$FO,67,FALSE)</f>
        <v>Yes</v>
      </c>
      <c r="AP27" s="12" t="str">
        <f>VLOOKUP($B27,'[1]Cost Analysis'!$C:$FO,69,FALSE)</f>
        <v>Yes</v>
      </c>
      <c r="AQ27" s="11">
        <f>VLOOKUP($B27,'[1]Cost Analysis'!$C:$FO,74,FALSE)</f>
        <v>7353000</v>
      </c>
      <c r="AR27" s="11">
        <f>VLOOKUP($B27,'[1]Cost Analysis'!$C:$FO,75,FALSE)</f>
        <v>6965321</v>
      </c>
      <c r="AS27" s="10">
        <f>IF(ISERROR(VLOOKUP($B27,'[1]Cost Analysis'!$C:$FO,76,FALSE)),"",VLOOKUP($B27,'[1]Cost Analysis'!$C:$FO,76,FALSE))</f>
        <v>5.2723922208622334E-2</v>
      </c>
      <c r="AT27" s="9">
        <f>VLOOKUP($B27,'[1]Cost Analysis'!$C:$FO,78,FALSE)</f>
        <v>486270.2</v>
      </c>
      <c r="AU27" s="9">
        <f>VLOOKUP($B27,'[1]Cost Analysis'!$C:$FO,82,FALSE)</f>
        <v>2.6993865916143465</v>
      </c>
      <c r="AV27" s="8">
        <f>VLOOKUP($B27,'[1]Cost Analysis'!$C:$FO,83,FALSE)</f>
        <v>36.62084321323232</v>
      </c>
      <c r="AW27" s="7">
        <f>IF(VLOOKUP($B27,'[1]Cost Analysis'!$C:$FO,86,FALSE)=0,"",VLOOKUP($B27,'[1]Cost Analysis'!$C:$FO,86,FALSE))</f>
        <v>3860000</v>
      </c>
      <c r="AX27" s="7">
        <f>IF(VLOOKUP($B27,'[1]Cost Analysis'!$C:$FO,87,FALSE)=0,"",VLOOKUP($B27,'[1]Cost Analysis'!$C:$FO,87,FALSE))</f>
        <v>13820490</v>
      </c>
      <c r="AY27" s="7">
        <f>IF(VLOOKUP($B27,'[1]Cost Analysis'!$C:$FO,88,FALSE)=0,"",VLOOKUP($B27,'[1]Cost Analysis'!$C:$FO,88,FALSE))</f>
        <v>1521600</v>
      </c>
      <c r="AZ27" s="7">
        <f>IF(VLOOKUP($B27,'[1]Cost Analysis'!$C:$FO,89,FALSE)=0,"",VLOOKUP($B27,'[1]Cost Analysis'!$C:$FO,89,FALSE))</f>
        <v>291269</v>
      </c>
      <c r="BA27" s="7">
        <f>IF(VLOOKUP($B27,'[1]Cost Analysis'!$C:$FO,90,FALSE)=0,"",VLOOKUP($B27,'[1]Cost Analysis'!$C:$FO,90,FALSE))</f>
        <v>263398</v>
      </c>
      <c r="BB27" s="7">
        <f>IF(VLOOKUP($B27,'[1]Cost Analysis'!$C:$FO,91,FALSE)=0,"",VLOOKUP($B27,'[1]Cost Analysis'!$C:$FO,91,FALSE))</f>
        <v>468693</v>
      </c>
      <c r="BC27" s="7" t="str">
        <f>IF(VLOOKUP($B27,'[1]Cost Analysis'!$C:$FO,92,FALSE)=0,"",VLOOKUP($B27,'[1]Cost Analysis'!$C:$FO,92,FALSE))</f>
        <v/>
      </c>
      <c r="BD27" s="7">
        <f>IF(VLOOKUP($B27,'[1]Cost Analysis'!$C:$FO,93,FALSE)=0,"",VLOOKUP($B27,'[1]Cost Analysis'!$C:$FO,93,FALSE))</f>
        <v>142906</v>
      </c>
      <c r="BE27" s="7" t="str">
        <f>IF(VLOOKUP($B27,'[1]Cost Analysis'!$C:$FO,94,FALSE)=0,"",VLOOKUP($B27,'[1]Cost Analysis'!$C:$FO,94,FALSE))</f>
        <v/>
      </c>
      <c r="BF27" s="7">
        <f>IF(VLOOKUP($B27,'[1]Cost Analysis'!$C:$FO,95,FALSE)=0,"",VLOOKUP($B27,'[1]Cost Analysis'!$C:$FO,95,FALSE))</f>
        <v>50797762.190000005</v>
      </c>
      <c r="BG27" s="7">
        <f>IF(VLOOKUP($B27,'[1]Cost Analysis'!$C:$FO,96,FALSE)=0,"",VLOOKUP($B27,'[1]Cost Analysis'!$C:$FO,96,FALSE))</f>
        <v>71166118.189999998</v>
      </c>
      <c r="BH27" s="7">
        <f>IF(VLOOKUP($B27,'[1]Cost Analysis'!$C:$FO,97,FALSE)=0,"",VLOOKUP($B27,'[1]Cost Analysis'!$C:$FO,97,FALSE))</f>
        <v>-300000</v>
      </c>
      <c r="BI27" s="7" t="str">
        <f>IF(VLOOKUP($B27,'[1]Cost Analysis'!$C:$FO,98,FALSE)=0,"",VLOOKUP($B27,'[1]Cost Analysis'!$C:$FO,98,FALSE))</f>
        <v/>
      </c>
      <c r="BJ27" s="7" t="str">
        <f>IF(VLOOKUP($B27,'[1]Cost Analysis'!$C:$FO,99,FALSE)=0,"",VLOOKUP($B27,'[1]Cost Analysis'!$C:$FO,99,FALSE))</f>
        <v/>
      </c>
      <c r="BK27" s="7" t="str">
        <f>IF(VLOOKUP($B27,'[1]Cost Analysis'!$C:$FO,100,FALSE)=0,"",VLOOKUP($B27,'[1]Cost Analysis'!$C:$FO,100,FALSE))</f>
        <v/>
      </c>
      <c r="BL27" s="7" t="str">
        <f>IF(VLOOKUP($B27,'[1]Cost Analysis'!$C:$FO,101,FALSE)=0,"",VLOOKUP($B27,'[1]Cost Analysis'!$C:$FO,101,FALSE))</f>
        <v/>
      </c>
      <c r="BM27" s="7" t="str">
        <f>IF(VLOOKUP($B27,'[1]Cost Analysis'!$C:$FO,102,FALSE)=0,"",VLOOKUP($B27,'[1]Cost Analysis'!$C:$FO,102,FALSE))</f>
        <v/>
      </c>
      <c r="BN27" s="7" t="str">
        <f>IF(VLOOKUP($B27,'[1]Cost Analysis'!$C:$FO,103,FALSE)=0,"",VLOOKUP($B27,'[1]Cost Analysis'!$C:$FO,103,FALSE))</f>
        <v/>
      </c>
      <c r="BO27" s="7">
        <f>IF(VLOOKUP($B27,'[1]Cost Analysis'!$C:$FO,104,FALSE)=0,"",VLOOKUP($B27,'[1]Cost Analysis'!$C:$FO,104,FALSE))</f>
        <v>-300000</v>
      </c>
      <c r="BP27" s="7">
        <f>IF(VLOOKUP($B27,'[1]Cost Analysis'!$C:$FO,105,FALSE)=0,"",VLOOKUP($B27,'[1]Cost Analysis'!$C:$FO,105,FALSE))</f>
        <v>-850000</v>
      </c>
      <c r="BQ27" s="7" t="str">
        <f>IF(VLOOKUP($B27,'[1]Cost Analysis'!$C:$FO,106,FALSE)=0,"",VLOOKUP($B27,'[1]Cost Analysis'!$C:$FO,106,FALSE))</f>
        <v/>
      </c>
      <c r="BR27" s="7" t="str">
        <f>IF(VLOOKUP($B27,'[1]Cost Analysis'!$C:$FO,107,FALSE)=0,"",VLOOKUP($B27,'[1]Cost Analysis'!$C:$FO,107,FALSE))</f>
        <v/>
      </c>
      <c r="BS27" s="7" t="str">
        <f>IF(VLOOKUP($B27,'[1]Cost Analysis'!$C:$FO,108,FALSE)=0,"",VLOOKUP($B27,'[1]Cost Analysis'!$C:$FO,108,FALSE))</f>
        <v/>
      </c>
      <c r="BT27" s="7" t="str">
        <f>IF(VLOOKUP($B27,'[1]Cost Analysis'!$C:$FO,109,FALSE)=0,"",VLOOKUP($B27,'[1]Cost Analysis'!$C:$FO,109,FALSE))</f>
        <v/>
      </c>
      <c r="BU27" s="7" t="str">
        <f>IF(VLOOKUP($B27,'[1]Cost Analysis'!$C:$FO,110,FALSE)=0,"",VLOOKUP($B27,'[1]Cost Analysis'!$C:$FO,110,FALSE))</f>
        <v/>
      </c>
      <c r="BV27" s="7" t="str">
        <f>IF(VLOOKUP($B27,'[1]Cost Analysis'!$C:$FO,111,FALSE)=0,"",VLOOKUP($B27,'[1]Cost Analysis'!$C:$FO,111,FALSE))</f>
        <v/>
      </c>
      <c r="BW27" s="7">
        <f>IF(VLOOKUP($B27,'[1]Cost Analysis'!$C:$FO,112,FALSE)=0,"",VLOOKUP($B27,'[1]Cost Analysis'!$C:$FO,112,FALSE))</f>
        <v>70016118.189999998</v>
      </c>
      <c r="BX27" s="7">
        <f>IF(VLOOKUP($B27,'[1]Cost Analysis'!$C:$FO,125,FALSE)=0,"",VLOOKUP($B27,'[1]Cost Analysis'!$C:$FO,125,FALSE))</f>
        <v>3222300</v>
      </c>
      <c r="BY27" s="7">
        <f>IF(VLOOKUP($B27,'[1]Cost Analysis'!$C:$FO,126,FALSE)=0,"",VLOOKUP($B27,'[1]Cost Analysis'!$C:$FO,126,FALSE))</f>
        <v>10900000</v>
      </c>
      <c r="BZ27" s="7">
        <f>IF(VLOOKUP($B27,'[1]Cost Analysis'!$C:$FO,127,FALSE)=0,"",VLOOKUP($B27,'[1]Cost Analysis'!$C:$FO,127,FALSE))</f>
        <v>1521600</v>
      </c>
      <c r="CA27" s="7">
        <f>IF(VLOOKUP($B27,'[1]Cost Analysis'!$C:$FO,128,FALSE)=0,"",VLOOKUP($B27,'[1]Cost Analysis'!$C:$FO,128,FALSE))</f>
        <v>291269</v>
      </c>
      <c r="CB27" s="7">
        <f>IF(VLOOKUP($B27,'[1]Cost Analysis'!$C:$FO,129,FALSE)=0,"",VLOOKUP($B27,'[1]Cost Analysis'!$C:$FO,129,FALSE))</f>
        <v>263398</v>
      </c>
      <c r="CC27" s="7">
        <f>IF(VLOOKUP($B27,'[1]Cost Analysis'!$C:$FO,130,FALSE)=0,"",VLOOKUP($B27,'[1]Cost Analysis'!$C:$FO,130,FALSE))</f>
        <v>468693</v>
      </c>
      <c r="CD27" s="7" t="str">
        <f>IF(VLOOKUP($B27,'[1]Cost Analysis'!$C:$FO,131,FALSE)=0,"",VLOOKUP($B27,'[1]Cost Analysis'!$C:$FO,131,FALSE))</f>
        <v/>
      </c>
      <c r="CE27" s="7">
        <f>IF(VLOOKUP($B27,'[1]Cost Analysis'!$C:$FO,132,FALSE)=0,"",VLOOKUP($B27,'[1]Cost Analysis'!$C:$FO,132,FALSE))</f>
        <v>123450</v>
      </c>
      <c r="CF27" s="7" t="str">
        <f>IF(VLOOKUP($B27,'[1]Cost Analysis'!$C:$FO,133,FALSE)=0,"",VLOOKUP($B27,'[1]Cost Analysis'!$C:$FO,133,FALSE))</f>
        <v/>
      </c>
      <c r="CG27" s="7">
        <f>IF(VLOOKUP($B27,'[1]Cost Analysis'!$C:$FO,134,FALSE)=0,"",VLOOKUP($B27,'[1]Cost Analysis'!$C:$FO,134,FALSE))</f>
        <v>50797762.190000005</v>
      </c>
      <c r="CH27" s="7">
        <f>IF(VLOOKUP($B27,'[1]Cost Analysis'!$C:$FO,135,FALSE)=0,"",VLOOKUP($B27,'[1]Cost Analysis'!$C:$FO,135,FALSE))</f>
        <v>67588472.189999998</v>
      </c>
      <c r="CI27" s="7" t="str">
        <f>IF(VLOOKUP($B27,'[1]Cost Analysis'!$C:$FO,136,FALSE)=0,"",VLOOKUP($B27,'[1]Cost Analysis'!$C:$FO,136,FALSE))</f>
        <v/>
      </c>
      <c r="CJ27" s="7" t="str">
        <f>IF(VLOOKUP($B27,'[1]Cost Analysis'!$C:$FO,137,FALSE)=0,"",VLOOKUP($B27,'[1]Cost Analysis'!$C:$FO,137,FALSE))</f>
        <v/>
      </c>
      <c r="CK27" s="7" t="str">
        <f>IF(VLOOKUP($B27,'[1]Cost Analysis'!$C:$FO,138,FALSE)=0,"",VLOOKUP($B27,'[1]Cost Analysis'!$C:$FO,138,FALSE))</f>
        <v/>
      </c>
      <c r="CL27" s="7">
        <f>IF(VLOOKUP($B27,'[1]Cost Analysis'!$C:$FO,139,FALSE)=0,"",VLOOKUP($B27,'[1]Cost Analysis'!$C:$FO,139,FALSE))</f>
        <v>67588472.189999998</v>
      </c>
    </row>
    <row r="28" spans="1:90" ht="30" x14ac:dyDescent="0.25">
      <c r="A28" s="13" t="s">
        <v>31</v>
      </c>
      <c r="B28" s="13" t="s">
        <v>32</v>
      </c>
      <c r="C28" s="19" t="str">
        <f>VLOOKUP($B28,'[1]Cost Analysis'!$C:$FO,7,FALSE)</f>
        <v>Milestone 1</v>
      </c>
      <c r="D28" s="19" t="str">
        <f>VLOOKUP($B28,'[1]Cost Analysis'!$C:$FO,8,FALSE)</f>
        <v>Early Design</v>
      </c>
      <c r="E28" s="18">
        <f>IF(ISERROR(VLOOKUP($B28,'[1]Cost Analysis'!$C:$FO,9,FALSE)),"",VLOOKUP($B28,'[1]Cost Analysis'!$C:$FO,9,FALSE))</f>
        <v>14071263.84</v>
      </c>
      <c r="F28" s="17">
        <f>IF(ISERROR(VLOOKUP($B28,'[1]Cost Analysis'!$C:$FO,10,FALSE)),"",VLOOKUP($B28,'[1]Cost Analysis'!$C:$FO,10,FALSE))</f>
        <v>323.74525676421865</v>
      </c>
      <c r="G28" s="9">
        <f>IF(ISERROR(VLOOKUP($B28,'[1]Cost Analysis'!$C:$FO,12,FALSE)),"",VLOOKUP($B28,'[1]Cost Analysis'!$C:$FO,12,FALSE))</f>
        <v>716975</v>
      </c>
      <c r="H28" s="17">
        <f>IF(ISERROR(VLOOKUP($B28,'[1]Cost Analysis'!$C:$FO,13,FALSE)),"",VLOOKUP($B28,'[1]Cost Analysis'!$C:$FO,13,FALSE))</f>
        <v>25.72130958954537</v>
      </c>
      <c r="I28" s="16">
        <f>IF(ISERROR(VLOOKUP($B28,'[1]Cost Analysis'!$C:$FO,14,FALSE)),"",VLOOKUP($B28,'[1]Cost Analysis'!$C:$FO,14,FALSE))</f>
        <v>7.94492245125865E-2</v>
      </c>
      <c r="J28" s="18">
        <f>IF(ISERROR(VLOOKUP($B28,'[1]Cost Analysis'!$C:$FO,15,FALSE)),"",VLOOKUP($B28,'[1]Cost Analysis'!$C:$FO,15,FALSE))</f>
        <v>1306414</v>
      </c>
      <c r="K28" s="16">
        <f>IF(ISERROR(VLOOKUP($B28,'[1]Cost Analysis'!$C:$FO,16,FALSE)),"",VLOOKUP($B28,'[1]Cost Analysis'!$C:$FO,16,FALSE))</f>
        <v>9.2842690951916662E-2</v>
      </c>
      <c r="L28" s="17">
        <f>IF(ISERROR(VLOOKUP($B28,'[1]Cost Analysis'!$C:$FO,17,FALSE)),"",VLOOKUP($B28,'[1]Cost Analysis'!$C:$FO,17,FALSE))</f>
        <v>-589439</v>
      </c>
      <c r="M28" s="17">
        <f>IF(ISERROR(VLOOKUP($B28,'[1]Cost Analysis'!$C:$FO,18,FALSE)),"",VLOOKUP($B28,'[1]Cost Analysis'!$C:$FO,18,FALSE))</f>
        <v>-4.7798448936203819</v>
      </c>
      <c r="N28" s="16">
        <f>IF(ISERROR(VLOOKUP($B28,'[1]Cost Analysis'!$C:$FO,19,FALSE)),"",VLOOKUP($B28,'[1]Cost Analysis'!$C:$FO,19,FALSE))</f>
        <v>-1.4764215980781174E-2</v>
      </c>
      <c r="O28" s="11">
        <f>IF(ISERROR(VLOOKUP($B28,'[1]Cost Analysis'!$C:$FO,36,FALSE)),"",VLOOKUP($B28,'[1]Cost Analysis'!$C:$FO,36,FALSE))</f>
        <v>2252742.5099999998</v>
      </c>
      <c r="P28" s="13" t="str">
        <f>IF(ISERROR(VLOOKUP($B28,'[1]Cost Analysis'!$C:$FO,37,FALSE)),"",VLOOKUP($B28,'[1]Cost Analysis'!$C:$FO,37,FALSE))</f>
        <v>Remote Solar electric (PV) Owned</v>
      </c>
      <c r="Q28" s="11">
        <f>VLOOKUP($B28,'[1]Cost Analysis'!$C:$FO,39,FALSE)</f>
        <v>43464</v>
      </c>
      <c r="R28" s="11">
        <f>VLOOKUP($B28,'[1]Cost Analysis'!$C:$FO,40,FALSE)</f>
        <v>43464</v>
      </c>
      <c r="S28" s="13">
        <f>VLOOKUP($B28,'[1]Cost Analysis'!$C:$FO,41,FALSE)</f>
        <v>1</v>
      </c>
      <c r="T28" s="13">
        <f>VLOOKUP($B28,'[1]Cost Analysis'!$C:$FO,42,FALSE)</f>
        <v>2</v>
      </c>
      <c r="U28" s="13">
        <f>VLOOKUP($B28,'[1]Cost Analysis'!$C:$FO,43,FALSE)</f>
        <v>40</v>
      </c>
      <c r="V28" s="13" t="str">
        <f>VLOOKUP($B28,'[1]Cost Analysis'!$C:$FO,44,FALSE)</f>
        <v>Phius</v>
      </c>
      <c r="W28" s="13" t="str">
        <f>VLOOKUP($B28,'[1]Cost Analysis'!$C:$FO,45,FALSE)</f>
        <v>Southern Tier</v>
      </c>
      <c r="X28" s="15" t="str">
        <f>VLOOKUP($B28,'[1]Cost Analysis'!$C:$FO,46,FALSE)</f>
        <v>All Electric</v>
      </c>
      <c r="Y28" s="14" t="str">
        <f>VLOOKUP($B28,'[1]Cost Analysis'!$C:$FO,47,FALSE)</f>
        <v>LMI</v>
      </c>
      <c r="Z28" s="13" t="str">
        <f>VLOOKUP($B28,'[1]Cost Analysis'!$C:$FO,48,FALSE)</f>
        <v>Yes</v>
      </c>
      <c r="AA28" s="13" t="str">
        <f>VLOOKUP($B28,'[1]Cost Analysis'!$C:$FO,49,FALSE)</f>
        <v>Panelized</v>
      </c>
      <c r="AB28" s="13" t="str">
        <f>VLOOKUP($B28,'[1]Cost Analysis'!$C:$FO,50,FALSE)</f>
        <v>GSHP</v>
      </c>
      <c r="AC28" s="13" t="str">
        <f>VLOOKUP($B28,'[1]Cost Analysis'!$C:$FO,51,FALSE)</f>
        <v>ERV</v>
      </c>
      <c r="AD28" s="13" t="str">
        <f>VLOOKUP($B28,'[1]Cost Analysis'!$C:$FO,52,FALSE)</f>
        <v>GSHP</v>
      </c>
      <c r="AE28" s="13" t="str">
        <f>VLOOKUP($B28,'[1]Cost Analysis'!$C:$FO,53,FALSE)</f>
        <v>Yes</v>
      </c>
      <c r="AF28" s="13" t="str">
        <f>VLOOKUP($B28,'[1]Cost Analysis'!$C:$FO,54,FALSE)</f>
        <v>Low Rise</v>
      </c>
      <c r="AG28" s="13" t="str">
        <f>IF(VLOOKUP($B28,'[1]Cost Analysis'!$C:$FO,55,FALSE)="PV","Yes","No")</f>
        <v>Yes</v>
      </c>
      <c r="AH28" s="13" t="str">
        <f>VLOOKUP($B28,'[1]Cost Analysis'!$C:$FO,57,FALSE)</f>
        <v>No</v>
      </c>
      <c r="AI28" s="13" t="str">
        <f>VLOOKUP($B28,'[1]Cost Analysis'!$C:$FO,58,FALSE)</f>
        <v>No</v>
      </c>
      <c r="AJ28" s="13" t="str">
        <f>VLOOKUP($B28,'[1]Cost Analysis'!$C:$FO,59,FALSE)</f>
        <v>No</v>
      </c>
      <c r="AK28" s="13">
        <f>VLOOKUP($B28,'[1]Cost Analysis'!$C:$FO,60,FALSE)</f>
        <v>5</v>
      </c>
      <c r="AL28" s="13" t="str">
        <f>VLOOKUP($B28,'[1]Cost Analysis'!$C:$FO,61,FALSE)</f>
        <v>No</v>
      </c>
      <c r="AM28" s="13" t="str">
        <f>VLOOKUP($B28,'[1]Cost Analysis'!$C:$FO,62,FALSE)</f>
        <v>NC</v>
      </c>
      <c r="AN28" s="12" t="str">
        <f>VLOOKUP($B28,'[1]Cost Analysis'!$C:$FO,63,FALSE)</f>
        <v>2016 ECCC of NYS</v>
      </c>
      <c r="AO28" s="12" t="str">
        <f>VLOOKUP($B28,'[1]Cost Analysis'!$C:$FO,67,FALSE)</f>
        <v>No</v>
      </c>
      <c r="AP28" s="12" t="str">
        <f>VLOOKUP($B28,'[1]Cost Analysis'!$C:$FO,69,FALSE)</f>
        <v>No</v>
      </c>
      <c r="AQ28" s="11">
        <f>VLOOKUP($B28,'[1]Cost Analysis'!$C:$FO,74,FALSE)</f>
        <v>2252743</v>
      </c>
      <c r="AR28" s="11">
        <f>VLOOKUP($B28,'[1]Cost Analysis'!$C:$FO,75,FALSE)</f>
        <v>0</v>
      </c>
      <c r="AS28" s="10">
        <f>IF(ISERROR(VLOOKUP($B28,'[1]Cost Analysis'!$C:$FO,76,FALSE)),"",VLOOKUP($B28,'[1]Cost Analysis'!$C:$FO,76,FALSE))</f>
        <v>1</v>
      </c>
      <c r="AT28" s="9">
        <f>VLOOKUP($B28,'[1]Cost Analysis'!$C:$FO,78,FALSE)</f>
        <v>0</v>
      </c>
      <c r="AU28" s="9">
        <f>VLOOKUP($B28,'[1]Cost Analysis'!$C:$FO,82,FALSE)</f>
        <v>0</v>
      </c>
      <c r="AV28" s="8">
        <f>VLOOKUP($B28,'[1]Cost Analysis'!$C:$FO,83,FALSE)</f>
        <v>0</v>
      </c>
      <c r="AW28" s="7">
        <f>IF(VLOOKUP($B28,'[1]Cost Analysis'!$C:$FO,86,FALSE)=0,"",VLOOKUP($B28,'[1]Cost Analysis'!$C:$FO,86,FALSE))</f>
        <v>1174200</v>
      </c>
      <c r="AX28" s="7">
        <f>IF(VLOOKUP($B28,'[1]Cost Analysis'!$C:$FO,87,FALSE)=0,"",VLOOKUP($B28,'[1]Cost Analysis'!$C:$FO,87,FALSE))</f>
        <v>2770500</v>
      </c>
      <c r="AY28" s="7">
        <f>IF(VLOOKUP($B28,'[1]Cost Analysis'!$C:$FO,88,FALSE)=0,"",VLOOKUP($B28,'[1]Cost Analysis'!$C:$FO,88,FALSE))</f>
        <v>320280</v>
      </c>
      <c r="AZ28" s="7">
        <f>IF(VLOOKUP($B28,'[1]Cost Analysis'!$C:$FO,89,FALSE)=0,"",VLOOKUP($B28,'[1]Cost Analysis'!$C:$FO,89,FALSE))</f>
        <v>30642.95</v>
      </c>
      <c r="BA28" s="7" t="str">
        <f>IF(VLOOKUP($B28,'[1]Cost Analysis'!$C:$FO,90,FALSE)=0,"",VLOOKUP($B28,'[1]Cost Analysis'!$C:$FO,90,FALSE))</f>
        <v/>
      </c>
      <c r="BB28" s="7">
        <f>IF(VLOOKUP($B28,'[1]Cost Analysis'!$C:$FO,91,FALSE)=0,"",VLOOKUP($B28,'[1]Cost Analysis'!$C:$FO,91,FALSE))</f>
        <v>888684</v>
      </c>
      <c r="BC28" s="7" t="str">
        <f>IF(VLOOKUP($B28,'[1]Cost Analysis'!$C:$FO,92,FALSE)=0,"",VLOOKUP($B28,'[1]Cost Analysis'!$C:$FO,92,FALSE))</f>
        <v/>
      </c>
      <c r="BD28" s="7" t="str">
        <f>IF(VLOOKUP($B28,'[1]Cost Analysis'!$C:$FO,93,FALSE)=0,"",VLOOKUP($B28,'[1]Cost Analysis'!$C:$FO,93,FALSE))</f>
        <v/>
      </c>
      <c r="BE28" s="7">
        <f>IF(VLOOKUP($B28,'[1]Cost Analysis'!$C:$FO,94,FALSE)=0,"",VLOOKUP($B28,'[1]Cost Analysis'!$C:$FO,94,FALSE))</f>
        <v>1189475</v>
      </c>
      <c r="BF28" s="7">
        <f>IF(VLOOKUP($B28,'[1]Cost Analysis'!$C:$FO,95,FALSE)=0,"",VLOOKUP($B28,'[1]Cost Analysis'!$C:$FO,95,FALSE))</f>
        <v>7697481.8899999997</v>
      </c>
      <c r="BG28" s="7">
        <f>IF(VLOOKUP($B28,'[1]Cost Analysis'!$C:$FO,96,FALSE)=0,"",VLOOKUP($B28,'[1]Cost Analysis'!$C:$FO,96,FALSE))</f>
        <v>14071263.84</v>
      </c>
      <c r="BH28" s="7">
        <f>IF(VLOOKUP($B28,'[1]Cost Analysis'!$C:$FO,97,FALSE)=0,"",VLOOKUP($B28,'[1]Cost Analysis'!$C:$FO,97,FALSE))</f>
        <v>-184000</v>
      </c>
      <c r="BI28" s="7" t="str">
        <f>IF(VLOOKUP($B28,'[1]Cost Analysis'!$C:$FO,98,FALSE)=0,"",VLOOKUP($B28,'[1]Cost Analysis'!$C:$FO,98,FALSE))</f>
        <v/>
      </c>
      <c r="BJ28" s="7" t="str">
        <f>IF(VLOOKUP($B28,'[1]Cost Analysis'!$C:$FO,99,FALSE)=0,"",VLOOKUP($B28,'[1]Cost Analysis'!$C:$FO,99,FALSE))</f>
        <v/>
      </c>
      <c r="BK28" s="7" t="str">
        <f>IF(VLOOKUP($B28,'[1]Cost Analysis'!$C:$FO,100,FALSE)=0,"",VLOOKUP($B28,'[1]Cost Analysis'!$C:$FO,100,FALSE))</f>
        <v/>
      </c>
      <c r="BL28" s="7">
        <f>IF(VLOOKUP($B28,'[1]Cost Analysis'!$C:$FO,101,FALSE)=0,"",VLOOKUP($B28,'[1]Cost Analysis'!$C:$FO,101,FALSE))</f>
        <v>-90000</v>
      </c>
      <c r="BM28" s="7" t="str">
        <f>IF(VLOOKUP($B28,'[1]Cost Analysis'!$C:$FO,102,FALSE)=0,"",VLOOKUP($B28,'[1]Cost Analysis'!$C:$FO,102,FALSE))</f>
        <v/>
      </c>
      <c r="BN28" s="7">
        <f>IF(VLOOKUP($B28,'[1]Cost Analysis'!$C:$FO,103,FALSE)=0,"",VLOOKUP($B28,'[1]Cost Analysis'!$C:$FO,103,FALSE))</f>
        <v>-239976</v>
      </c>
      <c r="BO28" s="7">
        <f>IF(VLOOKUP($B28,'[1]Cost Analysis'!$C:$FO,104,FALSE)=0,"",VLOOKUP($B28,'[1]Cost Analysis'!$C:$FO,104,FALSE))</f>
        <v>-513976</v>
      </c>
      <c r="BP28" s="7">
        <f>IF(VLOOKUP($B28,'[1]Cost Analysis'!$C:$FO,105,FALSE)=0,"",VLOOKUP($B28,'[1]Cost Analysis'!$C:$FO,105,FALSE))</f>
        <v>-792438</v>
      </c>
      <c r="BQ28" s="7" t="str">
        <f>IF(VLOOKUP($B28,'[1]Cost Analysis'!$C:$FO,106,FALSE)=0,"",VLOOKUP($B28,'[1]Cost Analysis'!$C:$FO,106,FALSE))</f>
        <v/>
      </c>
      <c r="BR28" s="7" t="str">
        <f>IF(VLOOKUP($B28,'[1]Cost Analysis'!$C:$FO,107,FALSE)=0,"",VLOOKUP($B28,'[1]Cost Analysis'!$C:$FO,107,FALSE))</f>
        <v/>
      </c>
      <c r="BS28" s="7" t="str">
        <f>IF(VLOOKUP($B28,'[1]Cost Analysis'!$C:$FO,108,FALSE)=0,"",VLOOKUP($B28,'[1]Cost Analysis'!$C:$FO,108,FALSE))</f>
        <v/>
      </c>
      <c r="BT28" s="7" t="str">
        <f>IF(VLOOKUP($B28,'[1]Cost Analysis'!$C:$FO,109,FALSE)=0,"",VLOOKUP($B28,'[1]Cost Analysis'!$C:$FO,109,FALSE))</f>
        <v/>
      </c>
      <c r="BU28" s="7" t="str">
        <f>IF(VLOOKUP($B28,'[1]Cost Analysis'!$C:$FO,110,FALSE)=0,"",VLOOKUP($B28,'[1]Cost Analysis'!$C:$FO,110,FALSE))</f>
        <v/>
      </c>
      <c r="BV28" s="7" t="str">
        <f>IF(VLOOKUP($B28,'[1]Cost Analysis'!$C:$FO,111,FALSE)=0,"",VLOOKUP($B28,'[1]Cost Analysis'!$C:$FO,111,FALSE))</f>
        <v/>
      </c>
      <c r="BW28" s="7">
        <f>IF(VLOOKUP($B28,'[1]Cost Analysis'!$C:$FO,112,FALSE)=0,"",VLOOKUP($B28,'[1]Cost Analysis'!$C:$FO,112,FALSE))</f>
        <v>12764849.84</v>
      </c>
      <c r="BX28" s="7">
        <f>IF(VLOOKUP($B28,'[1]Cost Analysis'!$C:$FO,125,FALSE)=0,"",VLOOKUP($B28,'[1]Cost Analysis'!$C:$FO,125,FALSE))</f>
        <v>824200</v>
      </c>
      <c r="BY28" s="7">
        <f>IF(VLOOKUP($B28,'[1]Cost Analysis'!$C:$FO,126,FALSE)=0,"",VLOOKUP($B28,'[1]Cost Analysis'!$C:$FO,126,FALSE))</f>
        <v>2747000</v>
      </c>
      <c r="BZ28" s="7">
        <f>IF(VLOOKUP($B28,'[1]Cost Analysis'!$C:$FO,127,FALSE)=0,"",VLOOKUP($B28,'[1]Cost Analysis'!$C:$FO,127,FALSE))</f>
        <v>278280</v>
      </c>
      <c r="CA28" s="7">
        <f>IF(VLOOKUP($B28,'[1]Cost Analysis'!$C:$FO,128,FALSE)=0,"",VLOOKUP($B28,'[1]Cost Analysis'!$C:$FO,128,FALSE))</f>
        <v>22642.95</v>
      </c>
      <c r="CB28" s="7" t="str">
        <f>IF(VLOOKUP($B28,'[1]Cost Analysis'!$C:$FO,129,FALSE)=0,"",VLOOKUP($B28,'[1]Cost Analysis'!$C:$FO,129,FALSE))</f>
        <v/>
      </c>
      <c r="CC28" s="7">
        <f>IF(VLOOKUP($B28,'[1]Cost Analysis'!$C:$FO,130,FALSE)=0,"",VLOOKUP($B28,'[1]Cost Analysis'!$C:$FO,130,FALSE))</f>
        <v>836684</v>
      </c>
      <c r="CD28" s="7" t="str">
        <f>IF(VLOOKUP($B28,'[1]Cost Analysis'!$C:$FO,131,FALSE)=0,"",VLOOKUP($B28,'[1]Cost Analysis'!$C:$FO,131,FALSE))</f>
        <v/>
      </c>
      <c r="CE28" s="7" t="str">
        <f>IF(VLOOKUP($B28,'[1]Cost Analysis'!$C:$FO,132,FALSE)=0,"",VLOOKUP($B28,'[1]Cost Analysis'!$C:$FO,132,FALSE))</f>
        <v/>
      </c>
      <c r="CF28" s="7">
        <f>IF(VLOOKUP($B28,'[1]Cost Analysis'!$C:$FO,133,FALSE)=0,"",VLOOKUP($B28,'[1]Cost Analysis'!$C:$FO,133,FALSE))</f>
        <v>950000</v>
      </c>
      <c r="CG28" s="7">
        <f>IF(VLOOKUP($B28,'[1]Cost Analysis'!$C:$FO,134,FALSE)=0,"",VLOOKUP($B28,'[1]Cost Analysis'!$C:$FO,134,FALSE))</f>
        <v>7695481.8899999997</v>
      </c>
      <c r="CH28" s="7">
        <f>IF(VLOOKUP($B28,'[1]Cost Analysis'!$C:$FO,135,FALSE)=0,"",VLOOKUP($B28,'[1]Cost Analysis'!$C:$FO,135,FALSE))</f>
        <v>13354288.84</v>
      </c>
      <c r="CI28" s="7">
        <f>IF(VLOOKUP($B28,'[1]Cost Analysis'!$C:$FO,136,FALSE)=0,"",VLOOKUP($B28,'[1]Cost Analysis'!$C:$FO,136,FALSE))</f>
        <v>-400976</v>
      </c>
      <c r="CJ28" s="7" t="str">
        <f>IF(VLOOKUP($B28,'[1]Cost Analysis'!$C:$FO,137,FALSE)=0,"",VLOOKUP($B28,'[1]Cost Analysis'!$C:$FO,137,FALSE))</f>
        <v/>
      </c>
      <c r="CK28" s="7" t="str">
        <f>IF(VLOOKUP($B28,'[1]Cost Analysis'!$C:$FO,138,FALSE)=0,"",VLOOKUP($B28,'[1]Cost Analysis'!$C:$FO,138,FALSE))</f>
        <v/>
      </c>
      <c r="CL28" s="7">
        <f>IF(VLOOKUP($B28,'[1]Cost Analysis'!$C:$FO,139,FALSE)=0,"",VLOOKUP($B28,'[1]Cost Analysis'!$C:$FO,139,FALSE))</f>
        <v>12953312.84</v>
      </c>
    </row>
    <row r="29" spans="1:90" ht="45" x14ac:dyDescent="0.25">
      <c r="A29" s="13" t="s">
        <v>31</v>
      </c>
      <c r="B29" s="13" t="s">
        <v>30</v>
      </c>
      <c r="C29" s="19" t="str">
        <f>VLOOKUP($B29,'[1]Cost Analysis'!$C:$FO,7,FALSE)</f>
        <v>Proposal</v>
      </c>
      <c r="D29" s="19" t="str">
        <f>VLOOKUP($B29,'[1]Cost Analysis'!$C:$FO,8,FALSE)</f>
        <v>Early Design</v>
      </c>
      <c r="E29" s="18">
        <f>IF(ISERROR(VLOOKUP($B29,'[1]Cost Analysis'!$C:$FO,9,FALSE)),"",VLOOKUP($B29,'[1]Cost Analysis'!$C:$FO,9,FALSE))</f>
        <v>19647603</v>
      </c>
      <c r="F29" s="17">
        <f>IF(ISERROR(VLOOKUP($B29,'[1]Cost Analysis'!$C:$FO,10,FALSE)),"",VLOOKUP($B29,'[1]Cost Analysis'!$C:$FO,10,FALSE))</f>
        <v>242.56299999999999</v>
      </c>
      <c r="G29" s="9">
        <f>IF(ISERROR(VLOOKUP($B29,'[1]Cost Analysis'!$C:$FO,12,FALSE)),"",VLOOKUP($B29,'[1]Cost Analysis'!$C:$FO,12,FALSE))</f>
        <v>1700000</v>
      </c>
      <c r="H29" s="17">
        <f>IF(ISERROR(VLOOKUP($B29,'[1]Cost Analysis'!$C:$FO,13,FALSE)),"",VLOOKUP($B29,'[1]Cost Analysis'!$C:$FO,13,FALSE))</f>
        <v>20.987654320987655</v>
      </c>
      <c r="I29" s="16">
        <f>IF(ISERROR(VLOOKUP($B29,'[1]Cost Analysis'!$C:$FO,14,FALSE)),"",VLOOKUP($B29,'[1]Cost Analysis'!$C:$FO,14,FALSE))</f>
        <v>8.6524549585005356E-2</v>
      </c>
      <c r="J29" s="18">
        <f>IF(ISERROR(VLOOKUP($B29,'[1]Cost Analysis'!$C:$FO,15,FALSE)),"",VLOOKUP($B29,'[1]Cost Analysis'!$C:$FO,15,FALSE))</f>
        <v>1368000</v>
      </c>
      <c r="K29" s="16">
        <f>IF(ISERROR(VLOOKUP($B29,'[1]Cost Analysis'!$C:$FO,16,FALSE)),"",VLOOKUP($B29,'[1]Cost Analysis'!$C:$FO,16,FALSE))</f>
        <v>6.9626814018992553E-2</v>
      </c>
      <c r="L29" s="17">
        <f>IF(ISERROR(VLOOKUP($B29,'[1]Cost Analysis'!$C:$FO,17,FALSE)),"",VLOOKUP($B29,'[1]Cost Analysis'!$C:$FO,17,FALSE))</f>
        <v>332000</v>
      </c>
      <c r="M29" s="17">
        <f>IF(ISERROR(VLOOKUP($B29,'[1]Cost Analysis'!$C:$FO,18,FALSE)),"",VLOOKUP($B29,'[1]Cost Analysis'!$C:$FO,18,FALSE))</f>
        <v>4.0987654320987659</v>
      </c>
      <c r="N29" s="16">
        <f>IF(ISERROR(VLOOKUP($B29,'[1]Cost Analysis'!$C:$FO,19,FALSE)),"",VLOOKUP($B29,'[1]Cost Analysis'!$C:$FO,19,FALSE))</f>
        <v>1.689773556601281E-2</v>
      </c>
      <c r="O29" s="11">
        <f>IF(ISERROR(VLOOKUP($B29,'[1]Cost Analysis'!$C:$FO,36,FALSE)),"",VLOOKUP($B29,'[1]Cost Analysis'!$C:$FO,36,FALSE))</f>
        <v>2751279</v>
      </c>
      <c r="P29" s="13" t="str">
        <f>IF(ISERROR(VLOOKUP($B29,'[1]Cost Analysis'!$C:$FO,37,FALSE)),"",VLOOKUP($B29,'[1]Cost Analysis'!$C:$FO,37,FALSE))</f>
        <v>Onsite Solar electric (PV) Owned
and
Remote Solar electric (PV) Leased</v>
      </c>
      <c r="Q29" s="11">
        <f>VLOOKUP($B29,'[1]Cost Analysis'!$C:$FO,39,FALSE)</f>
        <v>81000</v>
      </c>
      <c r="R29" s="11">
        <f>VLOOKUP($B29,'[1]Cost Analysis'!$C:$FO,40,FALSE)</f>
        <v>81000</v>
      </c>
      <c r="S29" s="13">
        <f>VLOOKUP($B29,'[1]Cost Analysis'!$C:$FO,41,FALSE)</f>
        <v>1</v>
      </c>
      <c r="T29" s="13">
        <f>VLOOKUP($B29,'[1]Cost Analysis'!$C:$FO,42,FALSE)</f>
        <v>4</v>
      </c>
      <c r="U29" s="13">
        <f>VLOOKUP($B29,'[1]Cost Analysis'!$C:$FO,43,FALSE)</f>
        <v>80</v>
      </c>
      <c r="V29" s="13" t="str">
        <f>VLOOKUP($B29,'[1]Cost Analysis'!$C:$FO,44,FALSE)</f>
        <v>Phius</v>
      </c>
      <c r="W29" s="13" t="str">
        <f>VLOOKUP($B29,'[1]Cost Analysis'!$C:$FO,45,FALSE)</f>
        <v>Finger Lakes</v>
      </c>
      <c r="X29" s="15" t="str">
        <f>VLOOKUP($B29,'[1]Cost Analysis'!$C:$FO,46,FALSE)</f>
        <v>All Electric</v>
      </c>
      <c r="Y29" s="14" t="str">
        <f>VLOOKUP($B29,'[1]Cost Analysis'!$C:$FO,47,FALSE)</f>
        <v>LMI</v>
      </c>
      <c r="Z29" s="13" t="str">
        <f>VLOOKUP($B29,'[1]Cost Analysis'!$C:$FO,48,FALSE)</f>
        <v>Yes</v>
      </c>
      <c r="AA29" s="13" t="str">
        <f>VLOOKUP($B29,'[1]Cost Analysis'!$C:$FO,49,FALSE)</f>
        <v>Wood Frame</v>
      </c>
      <c r="AB29" s="13" t="str">
        <f>VLOOKUP($B29,'[1]Cost Analysis'!$C:$FO,50,FALSE)</f>
        <v>Minisplit - ASHP</v>
      </c>
      <c r="AC29" s="13" t="str">
        <f>VLOOKUP($B29,'[1]Cost Analysis'!$C:$FO,51,FALSE)</f>
        <v>ERV</v>
      </c>
      <c r="AD29" s="13" t="str">
        <f>VLOOKUP($B29,'[1]Cost Analysis'!$C:$FO,52,FALSE)</f>
        <v xml:space="preserve">ASHP w/ CO2 </v>
      </c>
      <c r="AE29" s="13" t="str">
        <f>VLOOKUP($B29,'[1]Cost Analysis'!$C:$FO,53,FALSE)</f>
        <v>Yes</v>
      </c>
      <c r="AF29" s="13" t="str">
        <f>VLOOKUP($B29,'[1]Cost Analysis'!$C:$FO,54,FALSE)</f>
        <v>Low Rise</v>
      </c>
      <c r="AG29" s="13" t="str">
        <f>IF(VLOOKUP($B29,'[1]Cost Analysis'!$C:$FO,55,FALSE)="PV","Yes","No")</f>
        <v>Yes</v>
      </c>
      <c r="AH29" s="13" t="str">
        <f>VLOOKUP($B29,'[1]Cost Analysis'!$C:$FO,57,FALSE)</f>
        <v>Yes</v>
      </c>
      <c r="AI29" s="13" t="str">
        <f>VLOOKUP($B29,'[1]Cost Analysis'!$C:$FO,58,FALSE)</f>
        <v>No</v>
      </c>
      <c r="AJ29" s="13" t="str">
        <f>VLOOKUP($B29,'[1]Cost Analysis'!$C:$FO,59,FALSE)</f>
        <v>No</v>
      </c>
      <c r="AK29" s="13">
        <f>VLOOKUP($B29,'[1]Cost Analysis'!$C:$FO,60,FALSE)</f>
        <v>5</v>
      </c>
      <c r="AL29" s="13" t="str">
        <f>VLOOKUP($B29,'[1]Cost Analysis'!$C:$FO,61,FALSE)</f>
        <v>No</v>
      </c>
      <c r="AM29" s="13" t="str">
        <f>VLOOKUP($B29,'[1]Cost Analysis'!$C:$FO,62,FALSE)</f>
        <v>NC</v>
      </c>
      <c r="AN29" s="12" t="str">
        <f>VLOOKUP($B29,'[1]Cost Analysis'!$C:$FO,63,FALSE)</f>
        <v>2016 ECCC of NYS</v>
      </c>
      <c r="AO29" s="12" t="str">
        <f>VLOOKUP($B29,'[1]Cost Analysis'!$C:$FO,67,FALSE)</f>
        <v>No</v>
      </c>
      <c r="AP29" s="12" t="str">
        <f>VLOOKUP($B29,'[1]Cost Analysis'!$C:$FO,69,FALSE)</f>
        <v>No</v>
      </c>
      <c r="AQ29" s="11">
        <f>VLOOKUP($B29,'[1]Cost Analysis'!$C:$FO,74,FALSE)</f>
        <v>3527424</v>
      </c>
      <c r="AR29" s="11">
        <f>VLOOKUP($B29,'[1]Cost Analysis'!$C:$FO,75,FALSE)</f>
        <v>776145</v>
      </c>
      <c r="AS29" s="10">
        <f>IF(ISERROR(VLOOKUP($B29,'[1]Cost Analysis'!$C:$FO,76,FALSE)),"",VLOOKUP($B29,'[1]Cost Analysis'!$C:$FO,76,FALSE))</f>
        <v>0.77996832816242112</v>
      </c>
      <c r="AT29" s="9">
        <f>VLOOKUP($B29,'[1]Cost Analysis'!$C:$FO,78,FALSE)</f>
        <v>40000</v>
      </c>
      <c r="AU29" s="9">
        <f>VLOOKUP($B29,'[1]Cost Analysis'!$C:$FO,82,FALSE)</f>
        <v>0.49382716049382713</v>
      </c>
      <c r="AV29" s="8">
        <f>VLOOKUP($B29,'[1]Cost Analysis'!$C:$FO,83,FALSE)</f>
        <v>9.5820370370370362</v>
      </c>
      <c r="AW29" s="7" t="str">
        <f>IF(VLOOKUP($B29,'[1]Cost Analysis'!$C:$FO,86,FALSE)=0,"",VLOOKUP($B29,'[1]Cost Analysis'!$C:$FO,86,FALSE))</f>
        <v/>
      </c>
      <c r="AX29" s="7" t="str">
        <f>IF(VLOOKUP($B29,'[1]Cost Analysis'!$C:$FO,87,FALSE)=0,"",VLOOKUP($B29,'[1]Cost Analysis'!$C:$FO,87,FALSE))</f>
        <v/>
      </c>
      <c r="AY29" s="7" t="str">
        <f>IF(VLOOKUP($B29,'[1]Cost Analysis'!$C:$FO,88,FALSE)=0,"",VLOOKUP($B29,'[1]Cost Analysis'!$C:$FO,88,FALSE))</f>
        <v/>
      </c>
      <c r="AZ29" s="7" t="str">
        <f>IF(VLOOKUP($B29,'[1]Cost Analysis'!$C:$FO,89,FALSE)=0,"",VLOOKUP($B29,'[1]Cost Analysis'!$C:$FO,89,FALSE))</f>
        <v/>
      </c>
      <c r="BA29" s="7" t="str">
        <f>IF(VLOOKUP($B29,'[1]Cost Analysis'!$C:$FO,90,FALSE)=0,"",VLOOKUP($B29,'[1]Cost Analysis'!$C:$FO,90,FALSE))</f>
        <v/>
      </c>
      <c r="BB29" s="7" t="str">
        <f>IF(VLOOKUP($B29,'[1]Cost Analysis'!$C:$FO,91,FALSE)=0,"",VLOOKUP($B29,'[1]Cost Analysis'!$C:$FO,91,FALSE))</f>
        <v/>
      </c>
      <c r="BC29" s="7" t="str">
        <f>IF(VLOOKUP($B29,'[1]Cost Analysis'!$C:$FO,92,FALSE)=0,"",VLOOKUP($B29,'[1]Cost Analysis'!$C:$FO,92,FALSE))</f>
        <v/>
      </c>
      <c r="BD29" s="7" t="str">
        <f>IF(VLOOKUP($B29,'[1]Cost Analysis'!$C:$FO,93,FALSE)=0,"",VLOOKUP($B29,'[1]Cost Analysis'!$C:$FO,93,FALSE))</f>
        <v/>
      </c>
      <c r="BE29" s="7" t="str">
        <f>IF(VLOOKUP($B29,'[1]Cost Analysis'!$C:$FO,94,FALSE)=0,"",VLOOKUP($B29,'[1]Cost Analysis'!$C:$FO,94,FALSE))</f>
        <v/>
      </c>
      <c r="BF29" s="7" t="str">
        <f>IF(VLOOKUP($B29,'[1]Cost Analysis'!$C:$FO,95,FALSE)=0,"",VLOOKUP($B29,'[1]Cost Analysis'!$C:$FO,95,FALSE))</f>
        <v/>
      </c>
      <c r="BG29" s="7" t="str">
        <f>IF(VLOOKUP($B29,'[1]Cost Analysis'!$C:$FO,96,FALSE)=0,"",VLOOKUP($B29,'[1]Cost Analysis'!$C:$FO,96,FALSE))</f>
        <v/>
      </c>
      <c r="BH29" s="7" t="str">
        <f>IF(VLOOKUP($B29,'[1]Cost Analysis'!$C:$FO,97,FALSE)=0,"",VLOOKUP($B29,'[1]Cost Analysis'!$C:$FO,97,FALSE))</f>
        <v/>
      </c>
      <c r="BI29" s="7" t="str">
        <f>IF(VLOOKUP($B29,'[1]Cost Analysis'!$C:$FO,98,FALSE)=0,"",VLOOKUP($B29,'[1]Cost Analysis'!$C:$FO,98,FALSE))</f>
        <v/>
      </c>
      <c r="BJ29" s="7" t="str">
        <f>IF(VLOOKUP($B29,'[1]Cost Analysis'!$C:$FO,99,FALSE)=0,"",VLOOKUP($B29,'[1]Cost Analysis'!$C:$FO,99,FALSE))</f>
        <v/>
      </c>
      <c r="BK29" s="7" t="str">
        <f>IF(VLOOKUP($B29,'[1]Cost Analysis'!$C:$FO,100,FALSE)=0,"",VLOOKUP($B29,'[1]Cost Analysis'!$C:$FO,100,FALSE))</f>
        <v/>
      </c>
      <c r="BL29" s="7" t="str">
        <f>IF(VLOOKUP($B29,'[1]Cost Analysis'!$C:$FO,101,FALSE)=0,"",VLOOKUP($B29,'[1]Cost Analysis'!$C:$FO,101,FALSE))</f>
        <v/>
      </c>
      <c r="BM29" s="7" t="str">
        <f>IF(VLOOKUP($B29,'[1]Cost Analysis'!$C:$FO,102,FALSE)=0,"",VLOOKUP($B29,'[1]Cost Analysis'!$C:$FO,102,FALSE))</f>
        <v/>
      </c>
      <c r="BN29" s="7" t="str">
        <f>IF(VLOOKUP($B29,'[1]Cost Analysis'!$C:$FO,103,FALSE)=0,"",VLOOKUP($B29,'[1]Cost Analysis'!$C:$FO,103,FALSE))</f>
        <v/>
      </c>
      <c r="BO29" s="7" t="str">
        <f>IF(VLOOKUP($B29,'[1]Cost Analysis'!$C:$FO,104,FALSE)=0,"",VLOOKUP($B29,'[1]Cost Analysis'!$C:$FO,104,FALSE))</f>
        <v/>
      </c>
      <c r="BP29" s="7" t="str">
        <f>IF(VLOOKUP($B29,'[1]Cost Analysis'!$C:$FO,105,FALSE)=0,"",VLOOKUP($B29,'[1]Cost Analysis'!$C:$FO,105,FALSE))</f>
        <v/>
      </c>
      <c r="BQ29" s="7" t="str">
        <f>IF(VLOOKUP($B29,'[1]Cost Analysis'!$C:$FO,106,FALSE)=0,"",VLOOKUP($B29,'[1]Cost Analysis'!$C:$FO,106,FALSE))</f>
        <v/>
      </c>
      <c r="BR29" s="7" t="str">
        <f>IF(VLOOKUP($B29,'[1]Cost Analysis'!$C:$FO,107,FALSE)=0,"",VLOOKUP($B29,'[1]Cost Analysis'!$C:$FO,107,FALSE))</f>
        <v/>
      </c>
      <c r="BS29" s="7" t="str">
        <f>IF(VLOOKUP($B29,'[1]Cost Analysis'!$C:$FO,108,FALSE)=0,"",VLOOKUP($B29,'[1]Cost Analysis'!$C:$FO,108,FALSE))</f>
        <v/>
      </c>
      <c r="BT29" s="7" t="str">
        <f>IF(VLOOKUP($B29,'[1]Cost Analysis'!$C:$FO,109,FALSE)=0,"",VLOOKUP($B29,'[1]Cost Analysis'!$C:$FO,109,FALSE))</f>
        <v/>
      </c>
      <c r="BU29" s="7" t="str">
        <f>IF(VLOOKUP($B29,'[1]Cost Analysis'!$C:$FO,110,FALSE)=0,"",VLOOKUP($B29,'[1]Cost Analysis'!$C:$FO,110,FALSE))</f>
        <v/>
      </c>
      <c r="BV29" s="7" t="str">
        <f>IF(VLOOKUP($B29,'[1]Cost Analysis'!$C:$FO,111,FALSE)=0,"",VLOOKUP($B29,'[1]Cost Analysis'!$C:$FO,111,FALSE))</f>
        <v/>
      </c>
      <c r="BW29" s="7" t="str">
        <f>IF(VLOOKUP($B29,'[1]Cost Analysis'!$C:$FO,112,FALSE)=0,"",VLOOKUP($B29,'[1]Cost Analysis'!$C:$FO,112,FALSE))</f>
        <v/>
      </c>
      <c r="BX29" s="7" t="str">
        <f>IF(VLOOKUP($B29,'[1]Cost Analysis'!$C:$FO,125,FALSE)=0,"",VLOOKUP($B29,'[1]Cost Analysis'!$C:$FO,125,FALSE))</f>
        <v/>
      </c>
      <c r="BY29" s="7" t="str">
        <f>IF(VLOOKUP($B29,'[1]Cost Analysis'!$C:$FO,126,FALSE)=0,"",VLOOKUP($B29,'[1]Cost Analysis'!$C:$FO,126,FALSE))</f>
        <v/>
      </c>
      <c r="BZ29" s="7" t="str">
        <f>IF(VLOOKUP($B29,'[1]Cost Analysis'!$C:$FO,127,FALSE)=0,"",VLOOKUP($B29,'[1]Cost Analysis'!$C:$FO,127,FALSE))</f>
        <v/>
      </c>
      <c r="CA29" s="7" t="str">
        <f>IF(VLOOKUP($B29,'[1]Cost Analysis'!$C:$FO,128,FALSE)=0,"",VLOOKUP($B29,'[1]Cost Analysis'!$C:$FO,128,FALSE))</f>
        <v/>
      </c>
      <c r="CB29" s="7" t="str">
        <f>IF(VLOOKUP($B29,'[1]Cost Analysis'!$C:$FO,129,FALSE)=0,"",VLOOKUP($B29,'[1]Cost Analysis'!$C:$FO,129,FALSE))</f>
        <v/>
      </c>
      <c r="CC29" s="7" t="str">
        <f>IF(VLOOKUP($B29,'[1]Cost Analysis'!$C:$FO,130,FALSE)=0,"",VLOOKUP($B29,'[1]Cost Analysis'!$C:$FO,130,FALSE))</f>
        <v/>
      </c>
      <c r="CD29" s="7" t="str">
        <f>IF(VLOOKUP($B29,'[1]Cost Analysis'!$C:$FO,131,FALSE)=0,"",VLOOKUP($B29,'[1]Cost Analysis'!$C:$FO,131,FALSE))</f>
        <v/>
      </c>
      <c r="CE29" s="7" t="str">
        <f>IF(VLOOKUP($B29,'[1]Cost Analysis'!$C:$FO,132,FALSE)=0,"",VLOOKUP($B29,'[1]Cost Analysis'!$C:$FO,132,FALSE))</f>
        <v/>
      </c>
      <c r="CF29" s="7" t="str">
        <f>IF(VLOOKUP($B29,'[1]Cost Analysis'!$C:$FO,133,FALSE)=0,"",VLOOKUP($B29,'[1]Cost Analysis'!$C:$FO,133,FALSE))</f>
        <v/>
      </c>
      <c r="CG29" s="7" t="str">
        <f>IF(VLOOKUP($B29,'[1]Cost Analysis'!$C:$FO,134,FALSE)=0,"",VLOOKUP($B29,'[1]Cost Analysis'!$C:$FO,134,FALSE))</f>
        <v/>
      </c>
      <c r="CH29" s="7" t="str">
        <f>IF(VLOOKUP($B29,'[1]Cost Analysis'!$C:$FO,135,FALSE)=0,"",VLOOKUP($B29,'[1]Cost Analysis'!$C:$FO,135,FALSE))</f>
        <v/>
      </c>
      <c r="CI29" s="7" t="str">
        <f>IF(VLOOKUP($B29,'[1]Cost Analysis'!$C:$FO,136,FALSE)=0,"",VLOOKUP($B29,'[1]Cost Analysis'!$C:$FO,136,FALSE))</f>
        <v/>
      </c>
      <c r="CJ29" s="7" t="str">
        <f>IF(VLOOKUP($B29,'[1]Cost Analysis'!$C:$FO,137,FALSE)=0,"",VLOOKUP($B29,'[1]Cost Analysis'!$C:$FO,137,FALSE))</f>
        <v/>
      </c>
      <c r="CK29" s="7" t="str">
        <f>IF(VLOOKUP($B29,'[1]Cost Analysis'!$C:$FO,138,FALSE)=0,"",VLOOKUP($B29,'[1]Cost Analysis'!$C:$FO,138,FALSE))</f>
        <v/>
      </c>
      <c r="CL29" s="7" t="str">
        <f>IF(VLOOKUP($B29,'[1]Cost Analysis'!$C:$FO,139,FALSE)=0,"",VLOOKUP($B29,'[1]Cost Analysis'!$C:$FO,139,FALSE))</f>
        <v/>
      </c>
    </row>
    <row r="30" spans="1:90" ht="30" x14ac:dyDescent="0.25">
      <c r="A30" s="13" t="s">
        <v>16</v>
      </c>
      <c r="B30" s="20" t="s">
        <v>29</v>
      </c>
      <c r="C30" s="19" t="str">
        <f>VLOOKUP($B30,'[1]Cost Analysis'!$C:$FO,7,FALSE)</f>
        <v>Proposal</v>
      </c>
      <c r="D30" s="19" t="str">
        <f>VLOOKUP($B30,'[1]Cost Analysis'!$C:$FO,8,FALSE)</f>
        <v>Early Design</v>
      </c>
      <c r="E30" s="18">
        <f>IF(ISERROR(VLOOKUP($B30,'[1]Cost Analysis'!$C:$FO,9,FALSE)),"",VLOOKUP($B30,'[1]Cost Analysis'!$C:$FO,9,FALSE))</f>
        <v>19000000</v>
      </c>
      <c r="F30" s="17">
        <f>IF(ISERROR(VLOOKUP($B30,'[1]Cost Analysis'!$C:$FO,10,FALSE)),"",VLOOKUP($B30,'[1]Cost Analysis'!$C:$FO,10,FALSE))</f>
        <v>468.90424481737415</v>
      </c>
      <c r="G30" s="9">
        <f>IF(ISERROR(VLOOKUP($B30,'[1]Cost Analysis'!$C:$FO,12,FALSE)),"",VLOOKUP($B30,'[1]Cost Analysis'!$C:$FO,12,FALSE))</f>
        <v>950000</v>
      </c>
      <c r="H30" s="17">
        <f>IF(ISERROR(VLOOKUP($B30,'[1]Cost Analysis'!$C:$FO,13,FALSE)),"",VLOOKUP($B30,'[1]Cost Analysis'!$C:$FO,13,FALSE))</f>
        <v>23.445212240868706</v>
      </c>
      <c r="I30" s="16">
        <f>IF(ISERROR(VLOOKUP($B30,'[1]Cost Analysis'!$C:$FO,14,FALSE)),"",VLOOKUP($B30,'[1]Cost Analysis'!$C:$FO,14,FALSE))</f>
        <v>0.05</v>
      </c>
      <c r="J30" s="18">
        <f>IF(ISERROR(VLOOKUP($B30,'[1]Cost Analysis'!$C:$FO,15,FALSE)),"",VLOOKUP($B30,'[1]Cost Analysis'!$C:$FO,15,FALSE))</f>
        <v>1010200</v>
      </c>
      <c r="K30" s="16">
        <f>IF(ISERROR(VLOOKUP($B30,'[1]Cost Analysis'!$C:$FO,16,FALSE)),"",VLOOKUP($B30,'[1]Cost Analysis'!$C:$FO,16,FALSE))</f>
        <v>5.316842105263158E-2</v>
      </c>
      <c r="L30" s="17">
        <f>IF(ISERROR(VLOOKUP($B30,'[1]Cost Analysis'!$C:$FO,17,FALSE)),"",VLOOKUP($B30,'[1]Cost Analysis'!$C:$FO,17,FALSE))</f>
        <v>-60200</v>
      </c>
      <c r="M30" s="17">
        <f>IF(ISERROR(VLOOKUP($B30,'[1]Cost Analysis'!$C:$FO,18,FALSE)),"",VLOOKUP($B30,'[1]Cost Analysis'!$C:$FO,18,FALSE))</f>
        <v>-1.4856860809476802</v>
      </c>
      <c r="N30" s="16">
        <f>IF(ISERROR(VLOOKUP($B30,'[1]Cost Analysis'!$C:$FO,19,FALSE)),"",VLOOKUP($B30,'[1]Cost Analysis'!$C:$FO,19,FALSE))</f>
        <v>-3.168421052631579E-3</v>
      </c>
      <c r="O30" s="11">
        <f>IF(ISERROR(VLOOKUP($B30,'[1]Cost Analysis'!$C:$FO,36,FALSE)),"",VLOOKUP($B30,'[1]Cost Analysis'!$C:$FO,36,FALSE))</f>
        <v>445535.7</v>
      </c>
      <c r="P30" s="13" t="str">
        <f>IF(ISERROR(VLOOKUP($B30,'[1]Cost Analysis'!$C:$FO,37,FALSE)),"",VLOOKUP($B30,'[1]Cost Analysis'!$C:$FO,37,FALSE))</f>
        <v xml:space="preserve">Solar PV onsite owned </v>
      </c>
      <c r="Q30" s="11">
        <f>VLOOKUP($B30,'[1]Cost Analysis'!$C:$FO,39,FALSE)</f>
        <v>40520</v>
      </c>
      <c r="R30" s="11">
        <f>VLOOKUP($B30,'[1]Cost Analysis'!$C:$FO,40,FALSE)</f>
        <v>40520</v>
      </c>
      <c r="S30" s="13">
        <f>VLOOKUP($B30,'[1]Cost Analysis'!$C:$FO,41,FALSE)</f>
        <v>1</v>
      </c>
      <c r="T30" s="13">
        <f>VLOOKUP($B30,'[1]Cost Analysis'!$C:$FO,42,FALSE)</f>
        <v>4</v>
      </c>
      <c r="U30" s="13">
        <f>VLOOKUP($B30,'[1]Cost Analysis'!$C:$FO,43,FALSE)</f>
        <v>58</v>
      </c>
      <c r="V30" s="13" t="str">
        <f>VLOOKUP($B30,'[1]Cost Analysis'!$C:$FO,44,FALSE)</f>
        <v>Phius</v>
      </c>
      <c r="W30" s="13" t="str">
        <f>VLOOKUP($B30,'[1]Cost Analysis'!$C:$FO,45,FALSE)</f>
        <v>NYC</v>
      </c>
      <c r="X30" s="15" t="str">
        <f>VLOOKUP($B30,'[1]Cost Analysis'!$C:$FO,46,FALSE)</f>
        <v>All Electric</v>
      </c>
      <c r="Y30" s="14" t="str">
        <f>VLOOKUP($B30,'[1]Cost Analysis'!$C:$FO,47,FALSE)</f>
        <v>LMI</v>
      </c>
      <c r="Z30" s="13" t="str">
        <f>VLOOKUP($B30,'[1]Cost Analysis'!$C:$FO,48,FALSE)</f>
        <v>Yes</v>
      </c>
      <c r="AA30" s="13" t="str">
        <f>VLOOKUP($B30,'[1]Cost Analysis'!$C:$FO,49,FALSE)</f>
        <v>Modular</v>
      </c>
      <c r="AB30" s="13" t="str">
        <f>VLOOKUP($B30,'[1]Cost Analysis'!$C:$FO,50,FALSE)</f>
        <v>VRF - ASHP</v>
      </c>
      <c r="AC30" s="13" t="str">
        <f>VLOOKUP($B30,'[1]Cost Analysis'!$C:$FO,51,FALSE)</f>
        <v>ERV</v>
      </c>
      <c r="AD30" s="13" t="str">
        <f>VLOOKUP($B30,'[1]Cost Analysis'!$C:$FO,52,FALSE)</f>
        <v>ASHP</v>
      </c>
      <c r="AE30" s="13" t="str">
        <f>VLOOKUP($B30,'[1]Cost Analysis'!$C:$FO,53,FALSE)</f>
        <v>Yes</v>
      </c>
      <c r="AF30" s="13" t="str">
        <f>VLOOKUP($B30,'[1]Cost Analysis'!$C:$FO,54,FALSE)</f>
        <v>Mid Rise</v>
      </c>
      <c r="AG30" s="13" t="str">
        <f>IF(VLOOKUP($B30,'[1]Cost Analysis'!$C:$FO,55,FALSE)="PV","Yes","No")</f>
        <v>Yes</v>
      </c>
      <c r="AH30" s="13" t="str">
        <f>VLOOKUP($B30,'[1]Cost Analysis'!$C:$FO,57,FALSE)</f>
        <v>No</v>
      </c>
      <c r="AI30" s="13" t="str">
        <f>VLOOKUP($B30,'[1]Cost Analysis'!$C:$FO,58,FALSE)</f>
        <v>No</v>
      </c>
      <c r="AJ30" s="13" t="str">
        <f>VLOOKUP($B30,'[1]Cost Analysis'!$C:$FO,59,FALSE)</f>
        <v>No</v>
      </c>
      <c r="AK30" s="13">
        <f>VLOOKUP($B30,'[1]Cost Analysis'!$C:$FO,60,FALSE)</f>
        <v>4</v>
      </c>
      <c r="AL30" s="13" t="str">
        <f>VLOOKUP($B30,'[1]Cost Analysis'!$C:$FO,61,FALSE)</f>
        <v>No</v>
      </c>
      <c r="AM30" s="13" t="str">
        <f>VLOOKUP($B30,'[1]Cost Analysis'!$C:$FO,62,FALSE)</f>
        <v>NC</v>
      </c>
      <c r="AN30" s="12" t="str">
        <f>VLOOKUP($B30,'[1]Cost Analysis'!$C:$FO,63,FALSE)</f>
        <v>2016 ECC NYS</v>
      </c>
      <c r="AO30" s="12" t="str">
        <f>VLOOKUP($B30,'[1]Cost Analysis'!$C:$FO,67,FALSE)</f>
        <v>Yes</v>
      </c>
      <c r="AP30" s="12" t="str">
        <f>VLOOKUP($B30,'[1]Cost Analysis'!$C:$FO,69,FALSE)</f>
        <v>No</v>
      </c>
      <c r="AQ30" s="11">
        <f>VLOOKUP($B30,'[1]Cost Analysis'!$C:$FO,74,FALSE)</f>
        <v>1431096</v>
      </c>
      <c r="AR30" s="11">
        <f>VLOOKUP($B30,'[1]Cost Analysis'!$C:$FO,75,FALSE)</f>
        <v>294980</v>
      </c>
      <c r="AS30" s="10">
        <f>IF(ISERROR(VLOOKUP($B30,'[1]Cost Analysis'!$C:$FO,76,FALSE)),"",VLOOKUP($B30,'[1]Cost Analysis'!$C:$FO,76,FALSE))</f>
        <v>0.79387825834185832</v>
      </c>
      <c r="AT30" s="9">
        <f>VLOOKUP($B30,'[1]Cost Analysis'!$C:$FO,78,FALSE)</f>
        <v>0</v>
      </c>
      <c r="AU30" s="9">
        <f>VLOOKUP($B30,'[1]Cost Analysis'!$C:$FO,82,FALSE)</f>
        <v>0</v>
      </c>
      <c r="AV30" s="8">
        <f>VLOOKUP($B30,'[1]Cost Analysis'!$C:$FO,83,FALSE)</f>
        <v>7.2798617966436332</v>
      </c>
      <c r="AW30" s="7" t="str">
        <f>IF(VLOOKUP($B30,'[1]Cost Analysis'!$C:$FO,86,FALSE)=0,"",VLOOKUP($B30,'[1]Cost Analysis'!$C:$FO,86,FALSE))</f>
        <v/>
      </c>
      <c r="AX30" s="7" t="str">
        <f>IF(VLOOKUP($B30,'[1]Cost Analysis'!$C:$FO,87,FALSE)=0,"",VLOOKUP($B30,'[1]Cost Analysis'!$C:$FO,87,FALSE))</f>
        <v/>
      </c>
      <c r="AY30" s="7" t="str">
        <f>IF(VLOOKUP($B30,'[1]Cost Analysis'!$C:$FO,88,FALSE)=0,"",VLOOKUP($B30,'[1]Cost Analysis'!$C:$FO,88,FALSE))</f>
        <v/>
      </c>
      <c r="AZ30" s="7" t="str">
        <f>IF(VLOOKUP($B30,'[1]Cost Analysis'!$C:$FO,89,FALSE)=0,"",VLOOKUP($B30,'[1]Cost Analysis'!$C:$FO,89,FALSE))</f>
        <v/>
      </c>
      <c r="BA30" s="7" t="str">
        <f>IF(VLOOKUP($B30,'[1]Cost Analysis'!$C:$FO,90,FALSE)=0,"",VLOOKUP($B30,'[1]Cost Analysis'!$C:$FO,90,FALSE))</f>
        <v/>
      </c>
      <c r="BB30" s="7" t="str">
        <f>IF(VLOOKUP($B30,'[1]Cost Analysis'!$C:$FO,91,FALSE)=0,"",VLOOKUP($B30,'[1]Cost Analysis'!$C:$FO,91,FALSE))</f>
        <v/>
      </c>
      <c r="BC30" s="7" t="str">
        <f>IF(VLOOKUP($B30,'[1]Cost Analysis'!$C:$FO,92,FALSE)=0,"",VLOOKUP($B30,'[1]Cost Analysis'!$C:$FO,92,FALSE))</f>
        <v/>
      </c>
      <c r="BD30" s="7" t="str">
        <f>IF(VLOOKUP($B30,'[1]Cost Analysis'!$C:$FO,93,FALSE)=0,"",VLOOKUP($B30,'[1]Cost Analysis'!$C:$FO,93,FALSE))</f>
        <v/>
      </c>
      <c r="BE30" s="7" t="str">
        <f>IF(VLOOKUP($B30,'[1]Cost Analysis'!$C:$FO,94,FALSE)=0,"",VLOOKUP($B30,'[1]Cost Analysis'!$C:$FO,94,FALSE))</f>
        <v/>
      </c>
      <c r="BF30" s="7" t="str">
        <f>IF(VLOOKUP($B30,'[1]Cost Analysis'!$C:$FO,95,FALSE)=0,"",VLOOKUP($B30,'[1]Cost Analysis'!$C:$FO,95,FALSE))</f>
        <v/>
      </c>
      <c r="BG30" s="7" t="str">
        <f>IF(VLOOKUP($B30,'[1]Cost Analysis'!$C:$FO,96,FALSE)=0,"",VLOOKUP($B30,'[1]Cost Analysis'!$C:$FO,96,FALSE))</f>
        <v/>
      </c>
      <c r="BH30" s="7" t="str">
        <f>IF(VLOOKUP($B30,'[1]Cost Analysis'!$C:$FO,97,FALSE)=0,"",VLOOKUP($B30,'[1]Cost Analysis'!$C:$FO,97,FALSE))</f>
        <v/>
      </c>
      <c r="BI30" s="7" t="str">
        <f>IF(VLOOKUP($B30,'[1]Cost Analysis'!$C:$FO,98,FALSE)=0,"",VLOOKUP($B30,'[1]Cost Analysis'!$C:$FO,98,FALSE))</f>
        <v/>
      </c>
      <c r="BJ30" s="7" t="str">
        <f>IF(VLOOKUP($B30,'[1]Cost Analysis'!$C:$FO,99,FALSE)=0,"",VLOOKUP($B30,'[1]Cost Analysis'!$C:$FO,99,FALSE))</f>
        <v/>
      </c>
      <c r="BK30" s="7" t="str">
        <f>IF(VLOOKUP($B30,'[1]Cost Analysis'!$C:$FO,100,FALSE)=0,"",VLOOKUP($B30,'[1]Cost Analysis'!$C:$FO,100,FALSE))</f>
        <v/>
      </c>
      <c r="BL30" s="7" t="str">
        <f>IF(VLOOKUP($B30,'[1]Cost Analysis'!$C:$FO,101,FALSE)=0,"",VLOOKUP($B30,'[1]Cost Analysis'!$C:$FO,101,FALSE))</f>
        <v/>
      </c>
      <c r="BM30" s="7" t="str">
        <f>IF(VLOOKUP($B30,'[1]Cost Analysis'!$C:$FO,102,FALSE)=0,"",VLOOKUP($B30,'[1]Cost Analysis'!$C:$FO,102,FALSE))</f>
        <v/>
      </c>
      <c r="BN30" s="7" t="str">
        <f>IF(VLOOKUP($B30,'[1]Cost Analysis'!$C:$FO,103,FALSE)=0,"",VLOOKUP($B30,'[1]Cost Analysis'!$C:$FO,103,FALSE))</f>
        <v/>
      </c>
      <c r="BO30" s="7" t="str">
        <f>IF(VLOOKUP($B30,'[1]Cost Analysis'!$C:$FO,104,FALSE)=0,"",VLOOKUP($B30,'[1]Cost Analysis'!$C:$FO,104,FALSE))</f>
        <v/>
      </c>
      <c r="BP30" s="7" t="str">
        <f>IF(VLOOKUP($B30,'[1]Cost Analysis'!$C:$FO,105,FALSE)=0,"",VLOOKUP($B30,'[1]Cost Analysis'!$C:$FO,105,FALSE))</f>
        <v/>
      </c>
      <c r="BQ30" s="7" t="str">
        <f>IF(VLOOKUP($B30,'[1]Cost Analysis'!$C:$FO,106,FALSE)=0,"",VLOOKUP($B30,'[1]Cost Analysis'!$C:$FO,106,FALSE))</f>
        <v/>
      </c>
      <c r="BR30" s="7" t="str">
        <f>IF(VLOOKUP($B30,'[1]Cost Analysis'!$C:$FO,107,FALSE)=0,"",VLOOKUP($B30,'[1]Cost Analysis'!$C:$FO,107,FALSE))</f>
        <v/>
      </c>
      <c r="BS30" s="7" t="str">
        <f>IF(VLOOKUP($B30,'[1]Cost Analysis'!$C:$FO,108,FALSE)=0,"",VLOOKUP($B30,'[1]Cost Analysis'!$C:$FO,108,FALSE))</f>
        <v/>
      </c>
      <c r="BT30" s="7" t="str">
        <f>IF(VLOOKUP($B30,'[1]Cost Analysis'!$C:$FO,109,FALSE)=0,"",VLOOKUP($B30,'[1]Cost Analysis'!$C:$FO,109,FALSE))</f>
        <v/>
      </c>
      <c r="BU30" s="7" t="str">
        <f>IF(VLOOKUP($B30,'[1]Cost Analysis'!$C:$FO,110,FALSE)=0,"",VLOOKUP($B30,'[1]Cost Analysis'!$C:$FO,110,FALSE))</f>
        <v/>
      </c>
      <c r="BV30" s="7" t="str">
        <f>IF(VLOOKUP($B30,'[1]Cost Analysis'!$C:$FO,111,FALSE)=0,"",VLOOKUP($B30,'[1]Cost Analysis'!$C:$FO,111,FALSE))</f>
        <v/>
      </c>
      <c r="BW30" s="7" t="str">
        <f>IF(VLOOKUP($B30,'[1]Cost Analysis'!$C:$FO,112,FALSE)=0,"",VLOOKUP($B30,'[1]Cost Analysis'!$C:$FO,112,FALSE))</f>
        <v/>
      </c>
      <c r="BX30" s="7" t="str">
        <f>IF(VLOOKUP($B30,'[1]Cost Analysis'!$C:$FO,125,FALSE)=0,"",VLOOKUP($B30,'[1]Cost Analysis'!$C:$FO,125,FALSE))</f>
        <v/>
      </c>
      <c r="BY30" s="7" t="str">
        <f>IF(VLOOKUP($B30,'[1]Cost Analysis'!$C:$FO,126,FALSE)=0,"",VLOOKUP($B30,'[1]Cost Analysis'!$C:$FO,126,FALSE))</f>
        <v/>
      </c>
      <c r="BZ30" s="7" t="str">
        <f>IF(VLOOKUP($B30,'[1]Cost Analysis'!$C:$FO,127,FALSE)=0,"",VLOOKUP($B30,'[1]Cost Analysis'!$C:$FO,127,FALSE))</f>
        <v/>
      </c>
      <c r="CA30" s="7" t="str">
        <f>IF(VLOOKUP($B30,'[1]Cost Analysis'!$C:$FO,128,FALSE)=0,"",VLOOKUP($B30,'[1]Cost Analysis'!$C:$FO,128,FALSE))</f>
        <v/>
      </c>
      <c r="CB30" s="7" t="str">
        <f>IF(VLOOKUP($B30,'[1]Cost Analysis'!$C:$FO,129,FALSE)=0,"",VLOOKUP($B30,'[1]Cost Analysis'!$C:$FO,129,FALSE))</f>
        <v/>
      </c>
      <c r="CC30" s="7" t="str">
        <f>IF(VLOOKUP($B30,'[1]Cost Analysis'!$C:$FO,130,FALSE)=0,"",VLOOKUP($B30,'[1]Cost Analysis'!$C:$FO,130,FALSE))</f>
        <v/>
      </c>
      <c r="CD30" s="7" t="str">
        <f>IF(VLOOKUP($B30,'[1]Cost Analysis'!$C:$FO,131,FALSE)=0,"",VLOOKUP($B30,'[1]Cost Analysis'!$C:$FO,131,FALSE))</f>
        <v/>
      </c>
      <c r="CE30" s="7" t="str">
        <f>IF(VLOOKUP($B30,'[1]Cost Analysis'!$C:$FO,132,FALSE)=0,"",VLOOKUP($B30,'[1]Cost Analysis'!$C:$FO,132,FALSE))</f>
        <v/>
      </c>
      <c r="CF30" s="7" t="str">
        <f>IF(VLOOKUP($B30,'[1]Cost Analysis'!$C:$FO,133,FALSE)=0,"",VLOOKUP($B30,'[1]Cost Analysis'!$C:$FO,133,FALSE))</f>
        <v/>
      </c>
      <c r="CG30" s="7" t="str">
        <f>IF(VLOOKUP($B30,'[1]Cost Analysis'!$C:$FO,134,FALSE)=0,"",VLOOKUP($B30,'[1]Cost Analysis'!$C:$FO,134,FALSE))</f>
        <v/>
      </c>
      <c r="CH30" s="7" t="str">
        <f>IF(VLOOKUP($B30,'[1]Cost Analysis'!$C:$FO,135,FALSE)=0,"",VLOOKUP($B30,'[1]Cost Analysis'!$C:$FO,135,FALSE))</f>
        <v/>
      </c>
      <c r="CI30" s="7" t="str">
        <f>IF(VLOOKUP($B30,'[1]Cost Analysis'!$C:$FO,136,FALSE)=0,"",VLOOKUP($B30,'[1]Cost Analysis'!$C:$FO,136,FALSE))</f>
        <v/>
      </c>
      <c r="CJ30" s="7" t="str">
        <f>IF(VLOOKUP($B30,'[1]Cost Analysis'!$C:$FO,137,FALSE)=0,"",VLOOKUP($B30,'[1]Cost Analysis'!$C:$FO,137,FALSE))</f>
        <v/>
      </c>
      <c r="CK30" s="7" t="str">
        <f>IF(VLOOKUP($B30,'[1]Cost Analysis'!$C:$FO,138,FALSE)=0,"",VLOOKUP($B30,'[1]Cost Analysis'!$C:$FO,138,FALSE))</f>
        <v/>
      </c>
      <c r="CL30" s="7" t="str">
        <f>IF(VLOOKUP($B30,'[1]Cost Analysis'!$C:$FO,139,FALSE)=0,"",VLOOKUP($B30,'[1]Cost Analysis'!$C:$FO,139,FALSE))</f>
        <v/>
      </c>
    </row>
    <row r="31" spans="1:90" ht="30" x14ac:dyDescent="0.25">
      <c r="A31" s="13" t="s">
        <v>16</v>
      </c>
      <c r="B31" s="20" t="s">
        <v>28</v>
      </c>
      <c r="C31" s="19" t="str">
        <f>VLOOKUP($B31,'[1]Cost Analysis'!$C:$FO,7,FALSE)</f>
        <v>Proposal</v>
      </c>
      <c r="D31" s="19" t="str">
        <f>VLOOKUP($B31,'[1]Cost Analysis'!$C:$FO,8,FALSE)</f>
        <v>Early Design</v>
      </c>
      <c r="E31" s="18">
        <f>IF(ISERROR(VLOOKUP($B31,'[1]Cost Analysis'!$C:$FO,9,FALSE)),"",VLOOKUP($B31,'[1]Cost Analysis'!$C:$FO,9,FALSE))</f>
        <v>180239028</v>
      </c>
      <c r="F31" s="17">
        <f>IF(ISERROR(VLOOKUP($B31,'[1]Cost Analysis'!$C:$FO,10,FALSE)),"",VLOOKUP($B31,'[1]Cost Analysis'!$C:$FO,10,FALSE))</f>
        <v>502.27543368306652</v>
      </c>
      <c r="G31" s="9">
        <f>IF(ISERROR(VLOOKUP($B31,'[1]Cost Analysis'!$C:$FO,12,FALSE)),"",VLOOKUP($B31,'[1]Cost Analysis'!$C:$FO,12,FALSE))</f>
        <v>9011951.4000000004</v>
      </c>
      <c r="H31" s="17">
        <f>IF(ISERROR(VLOOKUP($B31,'[1]Cost Analysis'!$C:$FO,13,FALSE)),"",VLOOKUP($B31,'[1]Cost Analysis'!$C:$FO,13,FALSE))</f>
        <v>25.113771684153328</v>
      </c>
      <c r="I31" s="16">
        <f>IF(ISERROR(VLOOKUP($B31,'[1]Cost Analysis'!$C:$FO,14,FALSE)),"",VLOOKUP($B31,'[1]Cost Analysis'!$C:$FO,14,FALSE))</f>
        <v>0.05</v>
      </c>
      <c r="J31" s="18">
        <f>IF(ISERROR(VLOOKUP($B31,'[1]Cost Analysis'!$C:$FO,15,FALSE)),"",VLOOKUP($B31,'[1]Cost Analysis'!$C:$FO,15,FALSE))</f>
        <v>1300000</v>
      </c>
      <c r="K31" s="16">
        <f>IF(ISERROR(VLOOKUP($B31,'[1]Cost Analysis'!$C:$FO,16,FALSE)),"",VLOOKUP($B31,'[1]Cost Analysis'!$C:$FO,16,FALSE))</f>
        <v>7.2126443114196113E-3</v>
      </c>
      <c r="L31" s="17">
        <f>IF(ISERROR(VLOOKUP($B31,'[1]Cost Analysis'!$C:$FO,17,FALSE)),"",VLOOKUP($B31,'[1]Cost Analysis'!$C:$FO,17,FALSE))</f>
        <v>7711951.4000000004</v>
      </c>
      <c r="M31" s="17">
        <f>IF(ISERROR(VLOOKUP($B31,'[1]Cost Analysis'!$C:$FO,18,FALSE)),"",VLOOKUP($B31,'[1]Cost Analysis'!$C:$FO,18,FALSE))</f>
        <v>21.49103763463334</v>
      </c>
      <c r="N31" s="16">
        <f>IF(ISERROR(VLOOKUP($B31,'[1]Cost Analysis'!$C:$FO,19,FALSE)),"",VLOOKUP($B31,'[1]Cost Analysis'!$C:$FO,19,FALSE))</f>
        <v>4.2787355688580393E-2</v>
      </c>
      <c r="O31" s="11">
        <f>IF(ISERROR(VLOOKUP($B31,'[1]Cost Analysis'!$C:$FO,36,FALSE)),"",VLOOKUP($B31,'[1]Cost Analysis'!$C:$FO,36,FALSE))</f>
        <v>329394</v>
      </c>
      <c r="P31" s="13" t="str">
        <f>IF(ISERROR(VLOOKUP($B31,'[1]Cost Analysis'!$C:$FO,37,FALSE)),"",VLOOKUP($B31,'[1]Cost Analysis'!$C:$FO,37,FALSE))</f>
        <v xml:space="preserve">Solar PV onsite owned </v>
      </c>
      <c r="Q31" s="11">
        <f>VLOOKUP($B31,'[1]Cost Analysis'!$C:$FO,39,FALSE)</f>
        <v>358845</v>
      </c>
      <c r="R31" s="11">
        <f>VLOOKUP($B31,'[1]Cost Analysis'!$C:$FO,40,FALSE)</f>
        <v>342659</v>
      </c>
      <c r="S31" s="13">
        <f>VLOOKUP($B31,'[1]Cost Analysis'!$C:$FO,41,FALSE)</f>
        <v>1</v>
      </c>
      <c r="T31" s="13">
        <f>VLOOKUP($B31,'[1]Cost Analysis'!$C:$FO,42,FALSE)</f>
        <v>18</v>
      </c>
      <c r="U31" s="13">
        <f>VLOOKUP($B31,'[1]Cost Analysis'!$C:$FO,43,FALSE)</f>
        <v>311</v>
      </c>
      <c r="V31" s="13" t="str">
        <f>VLOOKUP($B31,'[1]Cost Analysis'!$C:$FO,44,FALSE)</f>
        <v>PHI</v>
      </c>
      <c r="W31" s="13" t="str">
        <f>VLOOKUP($B31,'[1]Cost Analysis'!$C:$FO,45,FALSE)</f>
        <v>NYC</v>
      </c>
      <c r="X31" s="15" t="str">
        <f>VLOOKUP($B31,'[1]Cost Analysis'!$C:$FO,46,FALSE)</f>
        <v>All Electric</v>
      </c>
      <c r="Y31" s="14" t="str">
        <f>VLOOKUP($B31,'[1]Cost Analysis'!$C:$FO,47,FALSE)</f>
        <v>LMI</v>
      </c>
      <c r="Z31" s="13" t="str">
        <f>VLOOKUP($B31,'[1]Cost Analysis'!$C:$FO,48,FALSE)</f>
        <v>Yes</v>
      </c>
      <c r="AA31" s="13" t="str">
        <f>VLOOKUP($B31,'[1]Cost Analysis'!$C:$FO,49,FALSE)</f>
        <v>Cast in Place Concrete</v>
      </c>
      <c r="AB31" s="13" t="str">
        <f>VLOOKUP($B31,'[1]Cost Analysis'!$C:$FO,50,FALSE)</f>
        <v>VRF - ASHP</v>
      </c>
      <c r="AC31" s="13" t="str">
        <f>VLOOKUP($B31,'[1]Cost Analysis'!$C:$FO,51,FALSE)</f>
        <v>ERV</v>
      </c>
      <c r="AD31" s="13" t="str">
        <f>VLOOKUP($B31,'[1]Cost Analysis'!$C:$FO,52,FALSE)</f>
        <v>ASHP</v>
      </c>
      <c r="AE31" s="13" t="str">
        <f>VLOOKUP($B31,'[1]Cost Analysis'!$C:$FO,53,FALSE)</f>
        <v>Yes</v>
      </c>
      <c r="AF31" s="13" t="str">
        <f>VLOOKUP($B31,'[1]Cost Analysis'!$C:$FO,54,FALSE)</f>
        <v>Mid Rise</v>
      </c>
      <c r="AG31" s="13" t="str">
        <f>IF(VLOOKUP($B31,'[1]Cost Analysis'!$C:$FO,55,FALSE)="PV","Yes","No")</f>
        <v>Yes</v>
      </c>
      <c r="AH31" s="13" t="str">
        <f>VLOOKUP($B31,'[1]Cost Analysis'!$C:$FO,57,FALSE)</f>
        <v>No</v>
      </c>
      <c r="AI31" s="13" t="str">
        <f>VLOOKUP($B31,'[1]Cost Analysis'!$C:$FO,58,FALSE)</f>
        <v>No</v>
      </c>
      <c r="AJ31" s="13" t="str">
        <f>VLOOKUP($B31,'[1]Cost Analysis'!$C:$FO,59,FALSE)</f>
        <v>No</v>
      </c>
      <c r="AK31" s="13">
        <f>VLOOKUP($B31,'[1]Cost Analysis'!$C:$FO,60,FALSE)</f>
        <v>4</v>
      </c>
      <c r="AL31" s="13" t="str">
        <f>VLOOKUP($B31,'[1]Cost Analysis'!$C:$FO,61,FALSE)</f>
        <v>No</v>
      </c>
      <c r="AM31" s="13" t="str">
        <f>VLOOKUP($B31,'[1]Cost Analysis'!$C:$FO,62,FALSE)</f>
        <v>NC</v>
      </c>
      <c r="AN31" s="12" t="str">
        <f>VLOOKUP($B31,'[1]Cost Analysis'!$C:$FO,63,FALSE)</f>
        <v>2019 ECC NYS</v>
      </c>
      <c r="AO31" s="12" t="str">
        <f>VLOOKUP($B31,'[1]Cost Analysis'!$C:$FO,67,FALSE)</f>
        <v>Yes</v>
      </c>
      <c r="AP31" s="12" t="str">
        <f>VLOOKUP($B31,'[1]Cost Analysis'!$C:$FO,69,FALSE)</f>
        <v>No</v>
      </c>
      <c r="AQ31" s="11">
        <f>VLOOKUP($B31,'[1]Cost Analysis'!$C:$FO,74,FALSE)</f>
        <v>3800750</v>
      </c>
      <c r="AR31" s="11">
        <f>VLOOKUP($B31,'[1]Cost Analysis'!$C:$FO,75,FALSE)</f>
        <v>3471356</v>
      </c>
      <c r="AS31" s="10">
        <f>IF(ISERROR(VLOOKUP($B31,'[1]Cost Analysis'!$C:$FO,76,FALSE)),"",VLOOKUP($B31,'[1]Cost Analysis'!$C:$FO,76,FALSE))</f>
        <v>8.6665526540814317E-2</v>
      </c>
      <c r="AT31" s="9">
        <f>VLOOKUP($B31,'[1]Cost Analysis'!$C:$FO,78,FALSE)</f>
        <v>178044.34</v>
      </c>
      <c r="AU31" s="9">
        <f>VLOOKUP($B31,'[1]Cost Analysis'!$C:$FO,82,FALSE)</f>
        <v>0.49615945603254885</v>
      </c>
      <c r="AV31" s="8">
        <f>VLOOKUP($B31,'[1]Cost Analysis'!$C:$FO,83,FALSE)</f>
        <v>9.6736919840042361</v>
      </c>
      <c r="AW31" s="7" t="str">
        <f>IF(VLOOKUP($B31,'[1]Cost Analysis'!$C:$FO,86,FALSE)=0,"",VLOOKUP($B31,'[1]Cost Analysis'!$C:$FO,86,FALSE))</f>
        <v/>
      </c>
      <c r="AX31" s="7" t="str">
        <f>IF(VLOOKUP($B31,'[1]Cost Analysis'!$C:$FO,87,FALSE)=0,"",VLOOKUP($B31,'[1]Cost Analysis'!$C:$FO,87,FALSE))</f>
        <v/>
      </c>
      <c r="AY31" s="7" t="str">
        <f>IF(VLOOKUP($B31,'[1]Cost Analysis'!$C:$FO,88,FALSE)=0,"",VLOOKUP($B31,'[1]Cost Analysis'!$C:$FO,88,FALSE))</f>
        <v/>
      </c>
      <c r="AZ31" s="7" t="str">
        <f>IF(VLOOKUP($B31,'[1]Cost Analysis'!$C:$FO,89,FALSE)=0,"",VLOOKUP($B31,'[1]Cost Analysis'!$C:$FO,89,FALSE))</f>
        <v/>
      </c>
      <c r="BA31" s="7" t="str">
        <f>IF(VLOOKUP($B31,'[1]Cost Analysis'!$C:$FO,90,FALSE)=0,"",VLOOKUP($B31,'[1]Cost Analysis'!$C:$FO,90,FALSE))</f>
        <v/>
      </c>
      <c r="BB31" s="7" t="str">
        <f>IF(VLOOKUP($B31,'[1]Cost Analysis'!$C:$FO,91,FALSE)=0,"",VLOOKUP($B31,'[1]Cost Analysis'!$C:$FO,91,FALSE))</f>
        <v/>
      </c>
      <c r="BC31" s="7" t="str">
        <f>IF(VLOOKUP($B31,'[1]Cost Analysis'!$C:$FO,92,FALSE)=0,"",VLOOKUP($B31,'[1]Cost Analysis'!$C:$FO,92,FALSE))</f>
        <v/>
      </c>
      <c r="BD31" s="7" t="str">
        <f>IF(VLOOKUP($B31,'[1]Cost Analysis'!$C:$FO,93,FALSE)=0,"",VLOOKUP($B31,'[1]Cost Analysis'!$C:$FO,93,FALSE))</f>
        <v/>
      </c>
      <c r="BE31" s="7" t="str">
        <f>IF(VLOOKUP($B31,'[1]Cost Analysis'!$C:$FO,94,FALSE)=0,"",VLOOKUP($B31,'[1]Cost Analysis'!$C:$FO,94,FALSE))</f>
        <v/>
      </c>
      <c r="BF31" s="7" t="str">
        <f>IF(VLOOKUP($B31,'[1]Cost Analysis'!$C:$FO,95,FALSE)=0,"",VLOOKUP($B31,'[1]Cost Analysis'!$C:$FO,95,FALSE))</f>
        <v/>
      </c>
      <c r="BG31" s="7" t="str">
        <f>IF(VLOOKUP($B31,'[1]Cost Analysis'!$C:$FO,96,FALSE)=0,"",VLOOKUP($B31,'[1]Cost Analysis'!$C:$FO,96,FALSE))</f>
        <v/>
      </c>
      <c r="BH31" s="7" t="str">
        <f>IF(VLOOKUP($B31,'[1]Cost Analysis'!$C:$FO,97,FALSE)=0,"",VLOOKUP($B31,'[1]Cost Analysis'!$C:$FO,97,FALSE))</f>
        <v/>
      </c>
      <c r="BI31" s="7" t="str">
        <f>IF(VLOOKUP($B31,'[1]Cost Analysis'!$C:$FO,98,FALSE)=0,"",VLOOKUP($B31,'[1]Cost Analysis'!$C:$FO,98,FALSE))</f>
        <v/>
      </c>
      <c r="BJ31" s="7" t="str">
        <f>IF(VLOOKUP($B31,'[1]Cost Analysis'!$C:$FO,99,FALSE)=0,"",VLOOKUP($B31,'[1]Cost Analysis'!$C:$FO,99,FALSE))</f>
        <v/>
      </c>
      <c r="BK31" s="7" t="str">
        <f>IF(VLOOKUP($B31,'[1]Cost Analysis'!$C:$FO,100,FALSE)=0,"",VLOOKUP($B31,'[1]Cost Analysis'!$C:$FO,100,FALSE))</f>
        <v/>
      </c>
      <c r="BL31" s="7" t="str">
        <f>IF(VLOOKUP($B31,'[1]Cost Analysis'!$C:$FO,101,FALSE)=0,"",VLOOKUP($B31,'[1]Cost Analysis'!$C:$FO,101,FALSE))</f>
        <v/>
      </c>
      <c r="BM31" s="7" t="str">
        <f>IF(VLOOKUP($B31,'[1]Cost Analysis'!$C:$FO,102,FALSE)=0,"",VLOOKUP($B31,'[1]Cost Analysis'!$C:$FO,102,FALSE))</f>
        <v/>
      </c>
      <c r="BN31" s="7" t="str">
        <f>IF(VLOOKUP($B31,'[1]Cost Analysis'!$C:$FO,103,FALSE)=0,"",VLOOKUP($B31,'[1]Cost Analysis'!$C:$FO,103,FALSE))</f>
        <v/>
      </c>
      <c r="BO31" s="7" t="str">
        <f>IF(VLOOKUP($B31,'[1]Cost Analysis'!$C:$FO,104,FALSE)=0,"",VLOOKUP($B31,'[1]Cost Analysis'!$C:$FO,104,FALSE))</f>
        <v/>
      </c>
      <c r="BP31" s="7" t="str">
        <f>IF(VLOOKUP($B31,'[1]Cost Analysis'!$C:$FO,105,FALSE)=0,"",VLOOKUP($B31,'[1]Cost Analysis'!$C:$FO,105,FALSE))</f>
        <v/>
      </c>
      <c r="BQ31" s="7" t="str">
        <f>IF(VLOOKUP($B31,'[1]Cost Analysis'!$C:$FO,106,FALSE)=0,"",VLOOKUP($B31,'[1]Cost Analysis'!$C:$FO,106,FALSE))</f>
        <v/>
      </c>
      <c r="BR31" s="7" t="str">
        <f>IF(VLOOKUP($B31,'[1]Cost Analysis'!$C:$FO,107,FALSE)=0,"",VLOOKUP($B31,'[1]Cost Analysis'!$C:$FO,107,FALSE))</f>
        <v/>
      </c>
      <c r="BS31" s="7" t="str">
        <f>IF(VLOOKUP($B31,'[1]Cost Analysis'!$C:$FO,108,FALSE)=0,"",VLOOKUP($B31,'[1]Cost Analysis'!$C:$FO,108,FALSE))</f>
        <v/>
      </c>
      <c r="BT31" s="7" t="str">
        <f>IF(VLOOKUP($B31,'[1]Cost Analysis'!$C:$FO,109,FALSE)=0,"",VLOOKUP($B31,'[1]Cost Analysis'!$C:$FO,109,FALSE))</f>
        <v/>
      </c>
      <c r="BU31" s="7" t="str">
        <f>IF(VLOOKUP($B31,'[1]Cost Analysis'!$C:$FO,110,FALSE)=0,"",VLOOKUP($B31,'[1]Cost Analysis'!$C:$FO,110,FALSE))</f>
        <v/>
      </c>
      <c r="BV31" s="7" t="str">
        <f>IF(VLOOKUP($B31,'[1]Cost Analysis'!$C:$FO,111,FALSE)=0,"",VLOOKUP($B31,'[1]Cost Analysis'!$C:$FO,111,FALSE))</f>
        <v/>
      </c>
      <c r="BW31" s="7" t="str">
        <f>IF(VLOOKUP($B31,'[1]Cost Analysis'!$C:$FO,112,FALSE)=0,"",VLOOKUP($B31,'[1]Cost Analysis'!$C:$FO,112,FALSE))</f>
        <v/>
      </c>
      <c r="BX31" s="7" t="str">
        <f>IF(VLOOKUP($B31,'[1]Cost Analysis'!$C:$FO,125,FALSE)=0,"",VLOOKUP($B31,'[1]Cost Analysis'!$C:$FO,125,FALSE))</f>
        <v/>
      </c>
      <c r="BY31" s="7" t="str">
        <f>IF(VLOOKUP($B31,'[1]Cost Analysis'!$C:$FO,126,FALSE)=0,"",VLOOKUP($B31,'[1]Cost Analysis'!$C:$FO,126,FALSE))</f>
        <v/>
      </c>
      <c r="BZ31" s="7" t="str">
        <f>IF(VLOOKUP($B31,'[1]Cost Analysis'!$C:$FO,127,FALSE)=0,"",VLOOKUP($B31,'[1]Cost Analysis'!$C:$FO,127,FALSE))</f>
        <v/>
      </c>
      <c r="CA31" s="7" t="str">
        <f>IF(VLOOKUP($B31,'[1]Cost Analysis'!$C:$FO,128,FALSE)=0,"",VLOOKUP($B31,'[1]Cost Analysis'!$C:$FO,128,FALSE))</f>
        <v/>
      </c>
      <c r="CB31" s="7" t="str">
        <f>IF(VLOOKUP($B31,'[1]Cost Analysis'!$C:$FO,129,FALSE)=0,"",VLOOKUP($B31,'[1]Cost Analysis'!$C:$FO,129,FALSE))</f>
        <v/>
      </c>
      <c r="CC31" s="7" t="str">
        <f>IF(VLOOKUP($B31,'[1]Cost Analysis'!$C:$FO,130,FALSE)=0,"",VLOOKUP($B31,'[1]Cost Analysis'!$C:$FO,130,FALSE))</f>
        <v/>
      </c>
      <c r="CD31" s="7" t="str">
        <f>IF(VLOOKUP($B31,'[1]Cost Analysis'!$C:$FO,131,FALSE)=0,"",VLOOKUP($B31,'[1]Cost Analysis'!$C:$FO,131,FALSE))</f>
        <v/>
      </c>
      <c r="CE31" s="7" t="str">
        <f>IF(VLOOKUP($B31,'[1]Cost Analysis'!$C:$FO,132,FALSE)=0,"",VLOOKUP($B31,'[1]Cost Analysis'!$C:$FO,132,FALSE))</f>
        <v/>
      </c>
      <c r="CF31" s="7" t="str">
        <f>IF(VLOOKUP($B31,'[1]Cost Analysis'!$C:$FO,133,FALSE)=0,"",VLOOKUP($B31,'[1]Cost Analysis'!$C:$FO,133,FALSE))</f>
        <v/>
      </c>
      <c r="CG31" s="7" t="str">
        <f>IF(VLOOKUP($B31,'[1]Cost Analysis'!$C:$FO,134,FALSE)=0,"",VLOOKUP($B31,'[1]Cost Analysis'!$C:$FO,134,FALSE))</f>
        <v/>
      </c>
      <c r="CH31" s="7" t="str">
        <f>IF(VLOOKUP($B31,'[1]Cost Analysis'!$C:$FO,135,FALSE)=0,"",VLOOKUP($B31,'[1]Cost Analysis'!$C:$FO,135,FALSE))</f>
        <v/>
      </c>
      <c r="CI31" s="7" t="str">
        <f>IF(VLOOKUP($B31,'[1]Cost Analysis'!$C:$FO,136,FALSE)=0,"",VLOOKUP($B31,'[1]Cost Analysis'!$C:$FO,136,FALSE))</f>
        <v/>
      </c>
      <c r="CJ31" s="7" t="str">
        <f>IF(VLOOKUP($B31,'[1]Cost Analysis'!$C:$FO,137,FALSE)=0,"",VLOOKUP($B31,'[1]Cost Analysis'!$C:$FO,137,FALSE))</f>
        <v/>
      </c>
      <c r="CK31" s="7" t="str">
        <f>IF(VLOOKUP($B31,'[1]Cost Analysis'!$C:$FO,138,FALSE)=0,"",VLOOKUP($B31,'[1]Cost Analysis'!$C:$FO,138,FALSE))</f>
        <v/>
      </c>
      <c r="CL31" s="7" t="str">
        <f>IF(VLOOKUP($B31,'[1]Cost Analysis'!$C:$FO,139,FALSE)=0,"",VLOOKUP($B31,'[1]Cost Analysis'!$C:$FO,139,FALSE))</f>
        <v/>
      </c>
    </row>
    <row r="32" spans="1:90" ht="30" x14ac:dyDescent="0.25">
      <c r="A32" s="13" t="s">
        <v>16</v>
      </c>
      <c r="B32" s="20" t="s">
        <v>27</v>
      </c>
      <c r="C32" s="19" t="str">
        <f>VLOOKUP($B32,'[1]Cost Analysis'!$C:$FO,7,FALSE)</f>
        <v>Milestone 2</v>
      </c>
      <c r="D32" s="19" t="str">
        <f>VLOOKUP($B32,'[1]Cost Analysis'!$C:$FO,8,FALSE)</f>
        <v>Early Design</v>
      </c>
      <c r="E32" s="18">
        <f>IF(ISERROR(VLOOKUP($B32,'[1]Cost Analysis'!$C:$FO,9,FALSE)),"",VLOOKUP($B32,'[1]Cost Analysis'!$C:$FO,9,FALSE))</f>
        <v>24735436</v>
      </c>
      <c r="F32" s="17">
        <f>IF(ISERROR(VLOOKUP($B32,'[1]Cost Analysis'!$C:$FO,10,FALSE)),"",VLOOKUP($B32,'[1]Cost Analysis'!$C:$FO,10,FALSE))</f>
        <v>371.82166102968807</v>
      </c>
      <c r="G32" s="9">
        <f>IF(ISERROR(VLOOKUP($B32,'[1]Cost Analysis'!$C:$FO,12,FALSE)),"",VLOOKUP($B32,'[1]Cost Analysis'!$C:$FO,12,FALSE))</f>
        <v>7420630.8000000007</v>
      </c>
      <c r="H32" s="17">
        <f>IF(ISERROR(VLOOKUP($B32,'[1]Cost Analysis'!$C:$FO,13,FALSE)),"",VLOOKUP($B32,'[1]Cost Analysis'!$C:$FO,13,FALSE))</f>
        <v>111.54649830890644</v>
      </c>
      <c r="I32" s="16">
        <f>IF(ISERROR(VLOOKUP($B32,'[1]Cost Analysis'!$C:$FO,14,FALSE)),"",VLOOKUP($B32,'[1]Cost Analysis'!$C:$FO,14,FALSE))</f>
        <v>0.30000000000000004</v>
      </c>
      <c r="J32" s="18">
        <f>IF(ISERROR(VLOOKUP($B32,'[1]Cost Analysis'!$C:$FO,15,FALSE)),"",VLOOKUP($B32,'[1]Cost Analysis'!$C:$FO,15,FALSE))</f>
        <v>2449064</v>
      </c>
      <c r="K32" s="16">
        <f>IF(ISERROR(VLOOKUP($B32,'[1]Cost Analysis'!$C:$FO,16,FALSE)),"",VLOOKUP($B32,'[1]Cost Analysis'!$C:$FO,16,FALSE))</f>
        <v>9.9010342894299497E-2</v>
      </c>
      <c r="L32" s="17">
        <f>IF(ISERROR(VLOOKUP($B32,'[1]Cost Analysis'!$C:$FO,17,FALSE)),"",VLOOKUP($B32,'[1]Cost Analysis'!$C:$FO,17,FALSE))</f>
        <v>4971566.8000000007</v>
      </c>
      <c r="M32" s="17">
        <f>IF(ISERROR(VLOOKUP($B32,'[1]Cost Analysis'!$C:$FO,18,FALSE)),"",VLOOKUP($B32,'[1]Cost Analysis'!$C:$FO,18,FALSE))</f>
        <v>82.944690391780739</v>
      </c>
      <c r="N32" s="16">
        <f>IF(ISERROR(VLOOKUP($B32,'[1]Cost Analysis'!$C:$FO,19,FALSE)),"",VLOOKUP($B32,'[1]Cost Analysis'!$C:$FO,19,FALSE))</f>
        <v>0.22307654202308033</v>
      </c>
      <c r="O32" s="11">
        <f>IF(ISERROR(VLOOKUP($B32,'[1]Cost Analysis'!$C:$FO,36,FALSE)),"",VLOOKUP($B32,'[1]Cost Analysis'!$C:$FO,36,FALSE))</f>
        <v>1685869</v>
      </c>
      <c r="P32" s="13" t="str">
        <f>IF(ISERROR(VLOOKUP($B32,'[1]Cost Analysis'!$C:$FO,37,FALSE)),"",VLOOKUP($B32,'[1]Cost Analysis'!$C:$FO,37,FALSE))</f>
        <v xml:space="preserve">Solar PV Onsite </v>
      </c>
      <c r="Q32" s="11">
        <f>VLOOKUP($B32,'[1]Cost Analysis'!$C:$FO,39,FALSE)</f>
        <v>66525</v>
      </c>
      <c r="R32" s="11">
        <f>VLOOKUP($B32,'[1]Cost Analysis'!$C:$FO,40,FALSE)</f>
        <v>66525</v>
      </c>
      <c r="S32" s="13">
        <f>VLOOKUP($B32,'[1]Cost Analysis'!$C:$FO,41,FALSE)</f>
        <v>1</v>
      </c>
      <c r="T32" s="13">
        <f>VLOOKUP($B32,'[1]Cost Analysis'!$C:$FO,42,FALSE)</f>
        <v>7</v>
      </c>
      <c r="U32" s="13">
        <f>VLOOKUP($B32,'[1]Cost Analysis'!$C:$FO,43,FALSE)</f>
        <v>74</v>
      </c>
      <c r="V32" s="13" t="str">
        <f>VLOOKUP($B32,'[1]Cost Analysis'!$C:$FO,44,FALSE)</f>
        <v>ASHRAE</v>
      </c>
      <c r="W32" s="13" t="str">
        <f>VLOOKUP($B32,'[1]Cost Analysis'!$C:$FO,45,FALSE)</f>
        <v>Mohawk Valley</v>
      </c>
      <c r="X32" s="15" t="str">
        <f>VLOOKUP($B32,'[1]Cost Analysis'!$C:$FO,46,FALSE)</f>
        <v>All Electric</v>
      </c>
      <c r="Y32" s="14" t="str">
        <f>VLOOKUP($B32,'[1]Cost Analysis'!$C:$FO,47,FALSE)</f>
        <v>LMI</v>
      </c>
      <c r="Z32" s="13" t="str">
        <f>VLOOKUP($B32,'[1]Cost Analysis'!$C:$FO,48,FALSE)</f>
        <v>Yes</v>
      </c>
      <c r="AA32" s="13" t="str">
        <f>VLOOKUP($B32,'[1]Cost Analysis'!$C:$FO,49,FALSE)</f>
        <v>Gut Rehab</v>
      </c>
      <c r="AB32" s="13" t="str">
        <f>VLOOKUP($B32,'[1]Cost Analysis'!$C:$FO,50,FALSE)</f>
        <v>GSHP</v>
      </c>
      <c r="AC32" s="13" t="str">
        <f>VLOOKUP($B32,'[1]Cost Analysis'!$C:$FO,51,FALSE)</f>
        <v>ERV</v>
      </c>
      <c r="AD32" s="13" t="str">
        <f>VLOOKUP($B32,'[1]Cost Analysis'!$C:$FO,52,FALSE)</f>
        <v xml:space="preserve">ASHP w/ CO2 </v>
      </c>
      <c r="AE32" s="13" t="str">
        <f>VLOOKUP($B32,'[1]Cost Analysis'!$C:$FO,53,FALSE)</f>
        <v>Yes</v>
      </c>
      <c r="AF32" s="13" t="str">
        <f>VLOOKUP($B32,'[1]Cost Analysis'!$C:$FO,54,FALSE)</f>
        <v>Mid Rise</v>
      </c>
      <c r="AG32" s="13" t="str">
        <f>IF(VLOOKUP($B32,'[1]Cost Analysis'!$C:$FO,55,FALSE)="PV","Yes","No")</f>
        <v>Yes</v>
      </c>
      <c r="AH32" s="13" t="str">
        <f>VLOOKUP($B32,'[1]Cost Analysis'!$C:$FO,57,FALSE)</f>
        <v xml:space="preserve">Yes </v>
      </c>
      <c r="AI32" s="13" t="str">
        <f>VLOOKUP($B32,'[1]Cost Analysis'!$C:$FO,58,FALSE)</f>
        <v>No</v>
      </c>
      <c r="AJ32" s="13" t="str">
        <f>VLOOKUP($B32,'[1]Cost Analysis'!$C:$FO,59,FALSE)</f>
        <v>No</v>
      </c>
      <c r="AK32" s="13">
        <f>VLOOKUP($B32,'[1]Cost Analysis'!$C:$FO,60,FALSE)</f>
        <v>5</v>
      </c>
      <c r="AL32" s="13" t="str">
        <f>VLOOKUP($B32,'[1]Cost Analysis'!$C:$FO,61,FALSE)</f>
        <v>No</v>
      </c>
      <c r="AM32" s="13" t="str">
        <f>VLOOKUP($B32,'[1]Cost Analysis'!$C:$FO,62,FALSE)</f>
        <v>GR</v>
      </c>
      <c r="AN32" s="12" t="str">
        <f>VLOOKUP($B32,'[1]Cost Analysis'!$C:$FO,63,FALSE)</f>
        <v>2019 ECC NYS</v>
      </c>
      <c r="AO32" s="12" t="str">
        <f>VLOOKUP($B32,'[1]Cost Analysis'!$C:$FO,67,FALSE)</f>
        <v>No</v>
      </c>
      <c r="AP32" s="12" t="str">
        <f>VLOOKUP($B32,'[1]Cost Analysis'!$C:$FO,69,FALSE)</f>
        <v>No</v>
      </c>
      <c r="AQ32" s="11">
        <f>VLOOKUP($B32,'[1]Cost Analysis'!$C:$FO,74,FALSE)</f>
        <v>1723974</v>
      </c>
      <c r="AR32" s="11">
        <f>VLOOKUP($B32,'[1]Cost Analysis'!$C:$FO,75,FALSE)</f>
        <v>38105</v>
      </c>
      <c r="AS32" s="10">
        <f>IF(ISERROR(VLOOKUP($B32,'[1]Cost Analysis'!$C:$FO,76,FALSE)),"",VLOOKUP($B32,'[1]Cost Analysis'!$C:$FO,76,FALSE))</f>
        <v>0.97789699844661226</v>
      </c>
      <c r="AT32" s="9">
        <f>VLOOKUP($B32,'[1]Cost Analysis'!$C:$FO,78,FALSE)</f>
        <v>7382.2</v>
      </c>
      <c r="AU32" s="9">
        <f>VLOOKUP($B32,'[1]Cost Analysis'!$C:$FO,82,FALSE)</f>
        <v>0.11096880871852687</v>
      </c>
      <c r="AV32" s="8">
        <f>VLOOKUP($B32,'[1]Cost Analysis'!$C:$FO,83,FALSE)</f>
        <v>0.57279218338970317</v>
      </c>
      <c r="AW32" s="7">
        <f>IF(VLOOKUP($B32,'[1]Cost Analysis'!$C:$FO,86,FALSE)=0,"",VLOOKUP($B32,'[1]Cost Analysis'!$C:$FO,86,FALSE))</f>
        <v>3357410</v>
      </c>
      <c r="AX32" s="7">
        <f>IF(VLOOKUP($B32,'[1]Cost Analysis'!$C:$FO,87,FALSE)=0,"",VLOOKUP($B32,'[1]Cost Analysis'!$C:$FO,87,FALSE))</f>
        <v>1096000</v>
      </c>
      <c r="AY32" s="7">
        <f>IF(VLOOKUP($B32,'[1]Cost Analysis'!$C:$FO,88,FALSE)=0,"",VLOOKUP($B32,'[1]Cost Analysis'!$C:$FO,88,FALSE))</f>
        <v>1467133</v>
      </c>
      <c r="AZ32" s="7">
        <f>IF(VLOOKUP($B32,'[1]Cost Analysis'!$C:$FO,89,FALSE)=0,"",VLOOKUP($B32,'[1]Cost Analysis'!$C:$FO,89,FALSE))</f>
        <v>169375</v>
      </c>
      <c r="BA32" s="7">
        <f>IF(VLOOKUP($B32,'[1]Cost Analysis'!$C:$FO,90,FALSE)=0,"",VLOOKUP($B32,'[1]Cost Analysis'!$C:$FO,90,FALSE))</f>
        <v>505440</v>
      </c>
      <c r="BB32" s="7">
        <f>IF(VLOOKUP($B32,'[1]Cost Analysis'!$C:$FO,91,FALSE)=0,"",VLOOKUP($B32,'[1]Cost Analysis'!$C:$FO,91,FALSE))</f>
        <v>2335100</v>
      </c>
      <c r="BC32" s="7" t="str">
        <f>IF(VLOOKUP($B32,'[1]Cost Analysis'!$C:$FO,92,FALSE)=0,"",VLOOKUP($B32,'[1]Cost Analysis'!$C:$FO,92,FALSE))</f>
        <v/>
      </c>
      <c r="BD32" s="7" t="str">
        <f>IF(VLOOKUP($B32,'[1]Cost Analysis'!$C:$FO,93,FALSE)=0,"",VLOOKUP($B32,'[1]Cost Analysis'!$C:$FO,93,FALSE))</f>
        <v/>
      </c>
      <c r="BE32" s="7" t="str">
        <f>IF(VLOOKUP($B32,'[1]Cost Analysis'!$C:$FO,94,FALSE)=0,"",VLOOKUP($B32,'[1]Cost Analysis'!$C:$FO,94,FALSE))</f>
        <v/>
      </c>
      <c r="BF32" s="7">
        <f>IF(VLOOKUP($B32,'[1]Cost Analysis'!$C:$FO,95,FALSE)=0,"",VLOOKUP($B32,'[1]Cost Analysis'!$C:$FO,95,FALSE))</f>
        <v>15804978</v>
      </c>
      <c r="BG32" s="7">
        <f>IF(VLOOKUP($B32,'[1]Cost Analysis'!$C:$FO,96,FALSE)=0,"",VLOOKUP($B32,'[1]Cost Analysis'!$C:$FO,96,FALSE))</f>
        <v>24735436</v>
      </c>
      <c r="BH32" s="7">
        <f>IF(VLOOKUP($B32,'[1]Cost Analysis'!$C:$FO,97,FALSE)=0,"",VLOOKUP($B32,'[1]Cost Analysis'!$C:$FO,97,FALSE))</f>
        <v>-259000</v>
      </c>
      <c r="BI32" s="7" t="str">
        <f>IF(VLOOKUP($B32,'[1]Cost Analysis'!$C:$FO,98,FALSE)=0,"",VLOOKUP($B32,'[1]Cost Analysis'!$C:$FO,98,FALSE))</f>
        <v/>
      </c>
      <c r="BJ32" s="7" t="str">
        <f>IF(VLOOKUP($B32,'[1]Cost Analysis'!$C:$FO,99,FALSE)=0,"",VLOOKUP($B32,'[1]Cost Analysis'!$C:$FO,99,FALSE))</f>
        <v/>
      </c>
      <c r="BK32" s="7" t="str">
        <f>IF(VLOOKUP($B32,'[1]Cost Analysis'!$C:$FO,100,FALSE)=0,"",VLOOKUP($B32,'[1]Cost Analysis'!$C:$FO,100,FALSE))</f>
        <v/>
      </c>
      <c r="BL32" s="7">
        <f>IF(VLOOKUP($B32,'[1]Cost Analysis'!$C:$FO,101,FALSE)=0,"",VLOOKUP($B32,'[1]Cost Analysis'!$C:$FO,101,FALSE))</f>
        <v>-200000</v>
      </c>
      <c r="BM32" s="7" t="str">
        <f>IF(VLOOKUP($B32,'[1]Cost Analysis'!$C:$FO,102,FALSE)=0,"",VLOOKUP($B32,'[1]Cost Analysis'!$C:$FO,102,FALSE))</f>
        <v/>
      </c>
      <c r="BN32" s="7" t="str">
        <f>IF(VLOOKUP($B32,'[1]Cost Analysis'!$C:$FO,103,FALSE)=0,"",VLOOKUP($B32,'[1]Cost Analysis'!$C:$FO,103,FALSE))</f>
        <v/>
      </c>
      <c r="BO32" s="7">
        <f>IF(VLOOKUP($B32,'[1]Cost Analysis'!$C:$FO,104,FALSE)=0,"",VLOOKUP($B32,'[1]Cost Analysis'!$C:$FO,104,FALSE))</f>
        <v>-459000</v>
      </c>
      <c r="BP32" s="7">
        <f>IF(VLOOKUP($B32,'[1]Cost Analysis'!$C:$FO,105,FALSE)=0,"",VLOOKUP($B32,'[1]Cost Analysis'!$C:$FO,105,FALSE))</f>
        <v>-1000000</v>
      </c>
      <c r="BQ32" s="7" t="str">
        <f>IF(VLOOKUP($B32,'[1]Cost Analysis'!$C:$FO,106,FALSE)=0,"",VLOOKUP($B32,'[1]Cost Analysis'!$C:$FO,106,FALSE))</f>
        <v/>
      </c>
      <c r="BR32" s="7">
        <f>IF(VLOOKUP($B32,'[1]Cost Analysis'!$C:$FO,107,FALSE)=0,"",VLOOKUP($B32,'[1]Cost Analysis'!$C:$FO,107,FALSE))</f>
        <v>-990064</v>
      </c>
      <c r="BS32" s="7" t="str">
        <f>IF(VLOOKUP($B32,'[1]Cost Analysis'!$C:$FO,108,FALSE)=0,"",VLOOKUP($B32,'[1]Cost Analysis'!$C:$FO,108,FALSE))</f>
        <v/>
      </c>
      <c r="BT32" s="7" t="str">
        <f>IF(VLOOKUP($B32,'[1]Cost Analysis'!$C:$FO,109,FALSE)=0,"",VLOOKUP($B32,'[1]Cost Analysis'!$C:$FO,109,FALSE))</f>
        <v/>
      </c>
      <c r="BU32" s="7" t="str">
        <f>IF(VLOOKUP($B32,'[1]Cost Analysis'!$C:$FO,110,FALSE)=0,"",VLOOKUP($B32,'[1]Cost Analysis'!$C:$FO,110,FALSE))</f>
        <v/>
      </c>
      <c r="BV32" s="7">
        <f>IF(VLOOKUP($B32,'[1]Cost Analysis'!$C:$FO,111,FALSE)=0,"",VLOOKUP($B32,'[1]Cost Analysis'!$C:$FO,111,FALSE))</f>
        <v>-990064</v>
      </c>
      <c r="BW32" s="7">
        <f>IF(VLOOKUP($B32,'[1]Cost Analysis'!$C:$FO,112,FALSE)=0,"",VLOOKUP($B32,'[1]Cost Analysis'!$C:$FO,112,FALSE))</f>
        <v>22286372</v>
      </c>
      <c r="BX32" s="7">
        <f>IF(VLOOKUP($B32,'[1]Cost Analysis'!$C:$FO,125,FALSE)=0,"",VLOOKUP($B32,'[1]Cost Analysis'!$C:$FO,125,FALSE))</f>
        <v>2350187</v>
      </c>
      <c r="BY32" s="7">
        <f>IF(VLOOKUP($B32,'[1]Cost Analysis'!$C:$FO,126,FALSE)=0,"",VLOOKUP($B32,'[1]Cost Analysis'!$C:$FO,126,FALSE))</f>
        <v>767200</v>
      </c>
      <c r="BZ32" s="7">
        <f>IF(VLOOKUP($B32,'[1]Cost Analysis'!$C:$FO,127,FALSE)=0,"",VLOOKUP($B32,'[1]Cost Analysis'!$C:$FO,127,FALSE))</f>
        <v>1026993.1</v>
      </c>
      <c r="CA32" s="7">
        <f>IF(VLOOKUP($B32,'[1]Cost Analysis'!$C:$FO,128,FALSE)=0,"",VLOOKUP($B32,'[1]Cost Analysis'!$C:$FO,128,FALSE))</f>
        <v>118562.49999999999</v>
      </c>
      <c r="CB32" s="7">
        <f>IF(VLOOKUP($B32,'[1]Cost Analysis'!$C:$FO,129,FALSE)=0,"",VLOOKUP($B32,'[1]Cost Analysis'!$C:$FO,129,FALSE))</f>
        <v>353808</v>
      </c>
      <c r="CC32" s="7">
        <f>IF(VLOOKUP($B32,'[1]Cost Analysis'!$C:$FO,130,FALSE)=0,"",VLOOKUP($B32,'[1]Cost Analysis'!$C:$FO,130,FALSE))</f>
        <v>1634570</v>
      </c>
      <c r="CD32" s="7" t="str">
        <f>IF(VLOOKUP($B32,'[1]Cost Analysis'!$C:$FO,131,FALSE)=0,"",VLOOKUP($B32,'[1]Cost Analysis'!$C:$FO,131,FALSE))</f>
        <v/>
      </c>
      <c r="CE32" s="7" t="str">
        <f>IF(VLOOKUP($B32,'[1]Cost Analysis'!$C:$FO,132,FALSE)=0,"",VLOOKUP($B32,'[1]Cost Analysis'!$C:$FO,132,FALSE))</f>
        <v/>
      </c>
      <c r="CF32" s="7" t="str">
        <f>IF(VLOOKUP($B32,'[1]Cost Analysis'!$C:$FO,133,FALSE)=0,"",VLOOKUP($B32,'[1]Cost Analysis'!$C:$FO,133,FALSE))</f>
        <v/>
      </c>
      <c r="CG32" s="7">
        <f>IF(VLOOKUP($B32,'[1]Cost Analysis'!$C:$FO,134,FALSE)=0,"",VLOOKUP($B32,'[1]Cost Analysis'!$C:$FO,134,FALSE))</f>
        <v>11063484.6</v>
      </c>
      <c r="CH32" s="7">
        <f>IF(VLOOKUP($B32,'[1]Cost Analysis'!$C:$FO,135,FALSE)=0,"",VLOOKUP($B32,'[1]Cost Analysis'!$C:$FO,135,FALSE))</f>
        <v>17314805.199999999</v>
      </c>
      <c r="CI32" s="7" t="str">
        <f>IF(VLOOKUP($B32,'[1]Cost Analysis'!$C:$FO,136,FALSE)=0,"",VLOOKUP($B32,'[1]Cost Analysis'!$C:$FO,136,FALSE))</f>
        <v/>
      </c>
      <c r="CJ32" s="7" t="str">
        <f>IF(VLOOKUP($B32,'[1]Cost Analysis'!$C:$FO,137,FALSE)=0,"",VLOOKUP($B32,'[1]Cost Analysis'!$C:$FO,137,FALSE))</f>
        <v/>
      </c>
      <c r="CK32" s="7" t="str">
        <f>IF(VLOOKUP($B32,'[1]Cost Analysis'!$C:$FO,138,FALSE)=0,"",VLOOKUP($B32,'[1]Cost Analysis'!$C:$FO,138,FALSE))</f>
        <v/>
      </c>
      <c r="CL32" s="7">
        <f>IF(VLOOKUP($B32,'[1]Cost Analysis'!$C:$FO,139,FALSE)=0,"",VLOOKUP($B32,'[1]Cost Analysis'!$C:$FO,139,FALSE))</f>
        <v>17314805.199999999</v>
      </c>
    </row>
    <row r="33" spans="1:90" ht="30" x14ac:dyDescent="0.25">
      <c r="A33" s="13" t="s">
        <v>16</v>
      </c>
      <c r="B33" s="20" t="s">
        <v>26</v>
      </c>
      <c r="C33" s="19" t="str">
        <f>VLOOKUP($B33,'[1]Cost Analysis'!$C:$FO,7,FALSE)</f>
        <v>Proposal</v>
      </c>
      <c r="D33" s="19" t="str">
        <f>VLOOKUP($B33,'[1]Cost Analysis'!$C:$FO,8,FALSE)</f>
        <v>Early Design</v>
      </c>
      <c r="E33" s="18">
        <f>IF(ISERROR(VLOOKUP($B33,'[1]Cost Analysis'!$C:$FO,9,FALSE)),"",VLOOKUP($B33,'[1]Cost Analysis'!$C:$FO,9,FALSE))</f>
        <v>18320480</v>
      </c>
      <c r="F33" s="17">
        <f>IF(ISERROR(VLOOKUP($B33,'[1]Cost Analysis'!$C:$FO,10,FALSE)),"",VLOOKUP($B33,'[1]Cost Analysis'!$C:$FO,10,FALSE))</f>
        <v>325.87701666696313</v>
      </c>
      <c r="G33" s="9">
        <f>IF(ISERROR(VLOOKUP($B33,'[1]Cost Analysis'!$C:$FO,12,FALSE)),"",VLOOKUP($B33,'[1]Cost Analysis'!$C:$FO,12,FALSE))</f>
        <v>0</v>
      </c>
      <c r="H33" s="17">
        <f>IF(ISERROR(VLOOKUP($B33,'[1]Cost Analysis'!$C:$FO,13,FALSE)),"",VLOOKUP($B33,'[1]Cost Analysis'!$C:$FO,13,FALSE))</f>
        <v>0</v>
      </c>
      <c r="I33" s="16">
        <f>IF(ISERROR(VLOOKUP($B33,'[1]Cost Analysis'!$C:$FO,14,FALSE)),"",VLOOKUP($B33,'[1]Cost Analysis'!$C:$FO,14,FALSE))</f>
        <v>0</v>
      </c>
      <c r="J33" s="18">
        <f>IF(ISERROR(VLOOKUP($B33,'[1]Cost Analysis'!$C:$FO,15,FALSE)),"",VLOOKUP($B33,'[1]Cost Analysis'!$C:$FO,15,FALSE))</f>
        <v>1342400</v>
      </c>
      <c r="K33" s="16">
        <f>IF(ISERROR(VLOOKUP($B33,'[1]Cost Analysis'!$C:$FO,16,FALSE)),"",VLOOKUP($B33,'[1]Cost Analysis'!$C:$FO,16,FALSE))</f>
        <v>7.3273189348750684E-2</v>
      </c>
      <c r="L33" s="17">
        <f>IF(ISERROR(VLOOKUP($B33,'[1]Cost Analysis'!$C:$FO,17,FALSE)),"",VLOOKUP($B33,'[1]Cost Analysis'!$C:$FO,17,FALSE))</f>
        <v>-1342400</v>
      </c>
      <c r="M33" s="17">
        <f>IF(ISERROR(VLOOKUP($B33,'[1]Cost Analysis'!$C:$FO,18,FALSE)),"",VLOOKUP($B33,'[1]Cost Analysis'!$C:$FO,18,FALSE))</f>
        <v>-23.878048346644373</v>
      </c>
      <c r="N33" s="16">
        <f>IF(ISERROR(VLOOKUP($B33,'[1]Cost Analysis'!$C:$FO,19,FALSE)),"",VLOOKUP($B33,'[1]Cost Analysis'!$C:$FO,19,FALSE))</f>
        <v>-7.3273189348750684E-2</v>
      </c>
      <c r="O33" s="11">
        <f>IF(ISERROR(VLOOKUP($B33,'[1]Cost Analysis'!$C:$FO,36,FALSE)),"",VLOOKUP($B33,'[1]Cost Analysis'!$C:$FO,36,FALSE))</f>
        <v>674919</v>
      </c>
      <c r="P33" s="13" t="str">
        <f>IF(ISERROR(VLOOKUP($B33,'[1]Cost Analysis'!$C:$FO,37,FALSE)),"",VLOOKUP($B33,'[1]Cost Analysis'!$C:$FO,37,FALSE))</f>
        <v xml:space="preserve">Solar PV Onsite Power Purchase </v>
      </c>
      <c r="Q33" s="11">
        <f>VLOOKUP($B33,'[1]Cost Analysis'!$C:$FO,39,FALSE)</f>
        <v>56219</v>
      </c>
      <c r="R33" s="11">
        <f>VLOOKUP($B33,'[1]Cost Analysis'!$C:$FO,40,FALSE)</f>
        <v>56219</v>
      </c>
      <c r="S33" s="13">
        <f>VLOOKUP($B33,'[1]Cost Analysis'!$C:$FO,41,FALSE)</f>
        <v>3</v>
      </c>
      <c r="T33" s="13">
        <f>VLOOKUP($B33,'[1]Cost Analysis'!$C:$FO,42,FALSE)</f>
        <v>3</v>
      </c>
      <c r="U33" s="13">
        <f>VLOOKUP($B33,'[1]Cost Analysis'!$C:$FO,43,FALSE)</f>
        <v>62</v>
      </c>
      <c r="V33" s="13" t="str">
        <f>VLOOKUP($B33,'[1]Cost Analysis'!$C:$FO,44,FALSE)</f>
        <v>Phius</v>
      </c>
      <c r="W33" s="13" t="str">
        <f>VLOOKUP($B33,'[1]Cost Analysis'!$C:$FO,45,FALSE)</f>
        <v>Mohawk Valley</v>
      </c>
      <c r="X33" s="15" t="str">
        <f>VLOOKUP($B33,'[1]Cost Analysis'!$C:$FO,46,FALSE)</f>
        <v>All Electric</v>
      </c>
      <c r="Y33" s="14" t="str">
        <f>VLOOKUP($B33,'[1]Cost Analysis'!$C:$FO,47,FALSE)</f>
        <v>LMI</v>
      </c>
      <c r="Z33" s="13" t="str">
        <f>VLOOKUP($B33,'[1]Cost Analysis'!$C:$FO,48,FALSE)</f>
        <v>Yes</v>
      </c>
      <c r="AA33" s="13" t="str">
        <f>VLOOKUP($B33,'[1]Cost Analysis'!$C:$FO,49,FALSE)</f>
        <v>Panelized</v>
      </c>
      <c r="AB33" s="13" t="str">
        <f>VLOOKUP($B33,'[1]Cost Analysis'!$C:$FO,50,FALSE)</f>
        <v>VRF - ASHP</v>
      </c>
      <c r="AC33" s="13" t="str">
        <f>VLOOKUP($B33,'[1]Cost Analysis'!$C:$FO,51,FALSE)</f>
        <v>ERV</v>
      </c>
      <c r="AD33" s="13" t="str">
        <f>VLOOKUP($B33,'[1]Cost Analysis'!$C:$FO,52,FALSE)</f>
        <v xml:space="preserve">ASHP w/ CO2 </v>
      </c>
      <c r="AE33" s="13" t="str">
        <f>VLOOKUP($B33,'[1]Cost Analysis'!$C:$FO,53,FALSE)</f>
        <v>Yes</v>
      </c>
      <c r="AF33" s="13" t="str">
        <f>VLOOKUP($B33,'[1]Cost Analysis'!$C:$FO,54,FALSE)</f>
        <v>Low Rise</v>
      </c>
      <c r="AG33" s="13" t="str">
        <f>IF(VLOOKUP($B33,'[1]Cost Analysis'!$C:$FO,55,FALSE)="PV","Yes","No")</f>
        <v>Yes</v>
      </c>
      <c r="AH33" s="13" t="str">
        <f>VLOOKUP($B33,'[1]Cost Analysis'!$C:$FO,57,FALSE)</f>
        <v>No</v>
      </c>
      <c r="AI33" s="13" t="str">
        <f>VLOOKUP($B33,'[1]Cost Analysis'!$C:$FO,58,FALSE)</f>
        <v>No</v>
      </c>
      <c r="AJ33" s="13" t="str">
        <f>VLOOKUP($B33,'[1]Cost Analysis'!$C:$FO,59,FALSE)</f>
        <v>No</v>
      </c>
      <c r="AK33" s="13">
        <f>VLOOKUP($B33,'[1]Cost Analysis'!$C:$FO,60,FALSE)</f>
        <v>5</v>
      </c>
      <c r="AL33" s="13" t="str">
        <f>VLOOKUP($B33,'[1]Cost Analysis'!$C:$FO,61,FALSE)</f>
        <v>No</v>
      </c>
      <c r="AM33" s="13" t="str">
        <f>VLOOKUP($B33,'[1]Cost Analysis'!$C:$FO,62,FALSE)</f>
        <v>NC</v>
      </c>
      <c r="AN33" s="12" t="str">
        <f>VLOOKUP($B33,'[1]Cost Analysis'!$C:$FO,63,FALSE)</f>
        <v>2019 ECC NYS</v>
      </c>
      <c r="AO33" s="12" t="str">
        <f>VLOOKUP($B33,'[1]Cost Analysis'!$C:$FO,67,FALSE)</f>
        <v>Yes</v>
      </c>
      <c r="AP33" s="12" t="str">
        <f>VLOOKUP($B33,'[1]Cost Analysis'!$C:$FO,69,FALSE)</f>
        <v>No</v>
      </c>
      <c r="AQ33" s="11">
        <f>VLOOKUP($B33,'[1]Cost Analysis'!$C:$FO,74,FALSE)</f>
        <v>674919</v>
      </c>
      <c r="AR33" s="11">
        <f>VLOOKUP($B33,'[1]Cost Analysis'!$C:$FO,75,FALSE)</f>
        <v>0</v>
      </c>
      <c r="AS33" s="10">
        <f>IF(ISERROR(VLOOKUP($B33,'[1]Cost Analysis'!$C:$FO,76,FALSE)),"",VLOOKUP($B33,'[1]Cost Analysis'!$C:$FO,76,FALSE))</f>
        <v>1</v>
      </c>
      <c r="AT33" s="9">
        <f>VLOOKUP($B33,'[1]Cost Analysis'!$C:$FO,78,FALSE)</f>
        <v>47473</v>
      </c>
      <c r="AU33" s="9">
        <f>VLOOKUP($B33,'[1]Cost Analysis'!$C:$FO,82,FALSE)</f>
        <v>0.84442981910030412</v>
      </c>
      <c r="AV33" s="8">
        <f>VLOOKUP($B33,'[1]Cost Analysis'!$C:$FO,83,FALSE)</f>
        <v>0</v>
      </c>
      <c r="AW33" s="7" t="str">
        <f>IF(VLOOKUP($B33,'[1]Cost Analysis'!$C:$FO,86,FALSE)=0,"",VLOOKUP($B33,'[1]Cost Analysis'!$C:$FO,86,FALSE))</f>
        <v/>
      </c>
      <c r="AX33" s="7" t="str">
        <f>IF(VLOOKUP($B33,'[1]Cost Analysis'!$C:$FO,87,FALSE)=0,"",VLOOKUP($B33,'[1]Cost Analysis'!$C:$FO,87,FALSE))</f>
        <v/>
      </c>
      <c r="AY33" s="7" t="str">
        <f>IF(VLOOKUP($B33,'[1]Cost Analysis'!$C:$FO,88,FALSE)=0,"",VLOOKUP($B33,'[1]Cost Analysis'!$C:$FO,88,FALSE))</f>
        <v/>
      </c>
      <c r="AZ33" s="7" t="str">
        <f>IF(VLOOKUP($B33,'[1]Cost Analysis'!$C:$FO,89,FALSE)=0,"",VLOOKUP($B33,'[1]Cost Analysis'!$C:$FO,89,FALSE))</f>
        <v/>
      </c>
      <c r="BA33" s="7" t="str">
        <f>IF(VLOOKUP($B33,'[1]Cost Analysis'!$C:$FO,90,FALSE)=0,"",VLOOKUP($B33,'[1]Cost Analysis'!$C:$FO,90,FALSE))</f>
        <v/>
      </c>
      <c r="BB33" s="7" t="str">
        <f>IF(VLOOKUP($B33,'[1]Cost Analysis'!$C:$FO,91,FALSE)=0,"",VLOOKUP($B33,'[1]Cost Analysis'!$C:$FO,91,FALSE))</f>
        <v/>
      </c>
      <c r="BC33" s="7" t="str">
        <f>IF(VLOOKUP($B33,'[1]Cost Analysis'!$C:$FO,92,FALSE)=0,"",VLOOKUP($B33,'[1]Cost Analysis'!$C:$FO,92,FALSE))</f>
        <v/>
      </c>
      <c r="BD33" s="7" t="str">
        <f>IF(VLOOKUP($B33,'[1]Cost Analysis'!$C:$FO,93,FALSE)=0,"",VLOOKUP($B33,'[1]Cost Analysis'!$C:$FO,93,FALSE))</f>
        <v/>
      </c>
      <c r="BE33" s="7" t="str">
        <f>IF(VLOOKUP($B33,'[1]Cost Analysis'!$C:$FO,94,FALSE)=0,"",VLOOKUP($B33,'[1]Cost Analysis'!$C:$FO,94,FALSE))</f>
        <v/>
      </c>
      <c r="BF33" s="7" t="str">
        <f>IF(VLOOKUP($B33,'[1]Cost Analysis'!$C:$FO,95,FALSE)=0,"",VLOOKUP($B33,'[1]Cost Analysis'!$C:$FO,95,FALSE))</f>
        <v/>
      </c>
      <c r="BG33" s="7" t="str">
        <f>IF(VLOOKUP($B33,'[1]Cost Analysis'!$C:$FO,96,FALSE)=0,"",VLOOKUP($B33,'[1]Cost Analysis'!$C:$FO,96,FALSE))</f>
        <v/>
      </c>
      <c r="BH33" s="7" t="str">
        <f>IF(VLOOKUP($B33,'[1]Cost Analysis'!$C:$FO,97,FALSE)=0,"",VLOOKUP($B33,'[1]Cost Analysis'!$C:$FO,97,FALSE))</f>
        <v/>
      </c>
      <c r="BI33" s="7" t="str">
        <f>IF(VLOOKUP($B33,'[1]Cost Analysis'!$C:$FO,98,FALSE)=0,"",VLOOKUP($B33,'[1]Cost Analysis'!$C:$FO,98,FALSE))</f>
        <v/>
      </c>
      <c r="BJ33" s="7" t="str">
        <f>IF(VLOOKUP($B33,'[1]Cost Analysis'!$C:$FO,99,FALSE)=0,"",VLOOKUP($B33,'[1]Cost Analysis'!$C:$FO,99,FALSE))</f>
        <v/>
      </c>
      <c r="BK33" s="7" t="str">
        <f>IF(VLOOKUP($B33,'[1]Cost Analysis'!$C:$FO,100,FALSE)=0,"",VLOOKUP($B33,'[1]Cost Analysis'!$C:$FO,100,FALSE))</f>
        <v/>
      </c>
      <c r="BL33" s="7" t="str">
        <f>IF(VLOOKUP($B33,'[1]Cost Analysis'!$C:$FO,101,FALSE)=0,"",VLOOKUP($B33,'[1]Cost Analysis'!$C:$FO,101,FALSE))</f>
        <v/>
      </c>
      <c r="BM33" s="7" t="str">
        <f>IF(VLOOKUP($B33,'[1]Cost Analysis'!$C:$FO,102,FALSE)=0,"",VLOOKUP($B33,'[1]Cost Analysis'!$C:$FO,102,FALSE))</f>
        <v/>
      </c>
      <c r="BN33" s="7" t="str">
        <f>IF(VLOOKUP($B33,'[1]Cost Analysis'!$C:$FO,103,FALSE)=0,"",VLOOKUP($B33,'[1]Cost Analysis'!$C:$FO,103,FALSE))</f>
        <v/>
      </c>
      <c r="BO33" s="7" t="str">
        <f>IF(VLOOKUP($B33,'[1]Cost Analysis'!$C:$FO,104,FALSE)=0,"",VLOOKUP($B33,'[1]Cost Analysis'!$C:$FO,104,FALSE))</f>
        <v/>
      </c>
      <c r="BP33" s="7" t="str">
        <f>IF(VLOOKUP($B33,'[1]Cost Analysis'!$C:$FO,105,FALSE)=0,"",VLOOKUP($B33,'[1]Cost Analysis'!$C:$FO,105,FALSE))</f>
        <v/>
      </c>
      <c r="BQ33" s="7" t="str">
        <f>IF(VLOOKUP($B33,'[1]Cost Analysis'!$C:$FO,106,FALSE)=0,"",VLOOKUP($B33,'[1]Cost Analysis'!$C:$FO,106,FALSE))</f>
        <v/>
      </c>
      <c r="BR33" s="7" t="str">
        <f>IF(VLOOKUP($B33,'[1]Cost Analysis'!$C:$FO,107,FALSE)=0,"",VLOOKUP($B33,'[1]Cost Analysis'!$C:$FO,107,FALSE))</f>
        <v/>
      </c>
      <c r="BS33" s="7" t="str">
        <f>IF(VLOOKUP($B33,'[1]Cost Analysis'!$C:$FO,108,FALSE)=0,"",VLOOKUP($B33,'[1]Cost Analysis'!$C:$FO,108,FALSE))</f>
        <v/>
      </c>
      <c r="BT33" s="7" t="str">
        <f>IF(VLOOKUP($B33,'[1]Cost Analysis'!$C:$FO,109,FALSE)=0,"",VLOOKUP($B33,'[1]Cost Analysis'!$C:$FO,109,FALSE))</f>
        <v/>
      </c>
      <c r="BU33" s="7" t="str">
        <f>IF(VLOOKUP($B33,'[1]Cost Analysis'!$C:$FO,110,FALSE)=0,"",VLOOKUP($B33,'[1]Cost Analysis'!$C:$FO,110,FALSE))</f>
        <v/>
      </c>
      <c r="BV33" s="7" t="str">
        <f>IF(VLOOKUP($B33,'[1]Cost Analysis'!$C:$FO,111,FALSE)=0,"",VLOOKUP($B33,'[1]Cost Analysis'!$C:$FO,111,FALSE))</f>
        <v/>
      </c>
      <c r="BW33" s="7" t="str">
        <f>IF(VLOOKUP($B33,'[1]Cost Analysis'!$C:$FO,112,FALSE)=0,"",VLOOKUP($B33,'[1]Cost Analysis'!$C:$FO,112,FALSE))</f>
        <v/>
      </c>
      <c r="BX33" s="7" t="str">
        <f>IF(VLOOKUP($B33,'[1]Cost Analysis'!$C:$FO,125,FALSE)=0,"",VLOOKUP($B33,'[1]Cost Analysis'!$C:$FO,125,FALSE))</f>
        <v/>
      </c>
      <c r="BY33" s="7" t="str">
        <f>IF(VLOOKUP($B33,'[1]Cost Analysis'!$C:$FO,126,FALSE)=0,"",VLOOKUP($B33,'[1]Cost Analysis'!$C:$FO,126,FALSE))</f>
        <v/>
      </c>
      <c r="BZ33" s="7" t="str">
        <f>IF(VLOOKUP($B33,'[1]Cost Analysis'!$C:$FO,127,FALSE)=0,"",VLOOKUP($B33,'[1]Cost Analysis'!$C:$FO,127,FALSE))</f>
        <v/>
      </c>
      <c r="CA33" s="7" t="str">
        <f>IF(VLOOKUP($B33,'[1]Cost Analysis'!$C:$FO,128,FALSE)=0,"",VLOOKUP($B33,'[1]Cost Analysis'!$C:$FO,128,FALSE))</f>
        <v/>
      </c>
      <c r="CB33" s="7" t="str">
        <f>IF(VLOOKUP($B33,'[1]Cost Analysis'!$C:$FO,129,FALSE)=0,"",VLOOKUP($B33,'[1]Cost Analysis'!$C:$FO,129,FALSE))</f>
        <v/>
      </c>
      <c r="CC33" s="7" t="str">
        <f>IF(VLOOKUP($B33,'[1]Cost Analysis'!$C:$FO,130,FALSE)=0,"",VLOOKUP($B33,'[1]Cost Analysis'!$C:$FO,130,FALSE))</f>
        <v/>
      </c>
      <c r="CD33" s="7" t="str">
        <f>IF(VLOOKUP($B33,'[1]Cost Analysis'!$C:$FO,131,FALSE)=0,"",VLOOKUP($B33,'[1]Cost Analysis'!$C:$FO,131,FALSE))</f>
        <v/>
      </c>
      <c r="CE33" s="7" t="str">
        <f>IF(VLOOKUP($B33,'[1]Cost Analysis'!$C:$FO,132,FALSE)=0,"",VLOOKUP($B33,'[1]Cost Analysis'!$C:$FO,132,FALSE))</f>
        <v/>
      </c>
      <c r="CF33" s="7" t="str">
        <f>IF(VLOOKUP($B33,'[1]Cost Analysis'!$C:$FO,133,FALSE)=0,"",VLOOKUP($B33,'[1]Cost Analysis'!$C:$FO,133,FALSE))</f>
        <v/>
      </c>
      <c r="CG33" s="7" t="str">
        <f>IF(VLOOKUP($B33,'[1]Cost Analysis'!$C:$FO,134,FALSE)=0,"",VLOOKUP($B33,'[1]Cost Analysis'!$C:$FO,134,FALSE))</f>
        <v/>
      </c>
      <c r="CH33" s="7" t="str">
        <f>IF(VLOOKUP($B33,'[1]Cost Analysis'!$C:$FO,135,FALSE)=0,"",VLOOKUP($B33,'[1]Cost Analysis'!$C:$FO,135,FALSE))</f>
        <v/>
      </c>
      <c r="CI33" s="7" t="str">
        <f>IF(VLOOKUP($B33,'[1]Cost Analysis'!$C:$FO,136,FALSE)=0,"",VLOOKUP($B33,'[1]Cost Analysis'!$C:$FO,136,FALSE))</f>
        <v/>
      </c>
      <c r="CJ33" s="7" t="str">
        <f>IF(VLOOKUP($B33,'[1]Cost Analysis'!$C:$FO,137,FALSE)=0,"",VLOOKUP($B33,'[1]Cost Analysis'!$C:$FO,137,FALSE))</f>
        <v/>
      </c>
      <c r="CK33" s="7" t="str">
        <f>IF(VLOOKUP($B33,'[1]Cost Analysis'!$C:$FO,138,FALSE)=0,"",VLOOKUP($B33,'[1]Cost Analysis'!$C:$FO,138,FALSE))</f>
        <v/>
      </c>
      <c r="CL33" s="7" t="str">
        <f>IF(VLOOKUP($B33,'[1]Cost Analysis'!$C:$FO,139,FALSE)=0,"",VLOOKUP($B33,'[1]Cost Analysis'!$C:$FO,139,FALSE))</f>
        <v/>
      </c>
    </row>
    <row r="34" spans="1:90" ht="30" x14ac:dyDescent="0.25">
      <c r="A34" s="13" t="s">
        <v>16</v>
      </c>
      <c r="B34" s="20" t="s">
        <v>25</v>
      </c>
      <c r="C34" s="19" t="str">
        <f>VLOOKUP($B34,'[1]Cost Analysis'!$C:$FO,7,FALSE)</f>
        <v>Proposal</v>
      </c>
      <c r="D34" s="19" t="str">
        <f>VLOOKUP($B34,'[1]Cost Analysis'!$C:$FO,8,FALSE)</f>
        <v>Early Design</v>
      </c>
      <c r="E34" s="18">
        <f>IF(ISERROR(VLOOKUP($B34,'[1]Cost Analysis'!$C:$FO,9,FALSE)),"",VLOOKUP($B34,'[1]Cost Analysis'!$C:$FO,9,FALSE))</f>
        <v>24455000</v>
      </c>
      <c r="F34" s="17">
        <f>IF(ISERROR(VLOOKUP($B34,'[1]Cost Analysis'!$C:$FO,10,FALSE)),"",VLOOKUP($B34,'[1]Cost Analysis'!$C:$FO,10,FALSE))</f>
        <v>154.51346108889183</v>
      </c>
      <c r="G34" s="9">
        <f>IF(ISERROR(VLOOKUP($B34,'[1]Cost Analysis'!$C:$FO,12,FALSE)),"",VLOOKUP($B34,'[1]Cost Analysis'!$C:$FO,12,FALSE))</f>
        <v>3668250</v>
      </c>
      <c r="H34" s="17">
        <f>IF(ISERROR(VLOOKUP($B34,'[1]Cost Analysis'!$C:$FO,13,FALSE)),"",VLOOKUP($B34,'[1]Cost Analysis'!$C:$FO,13,FALSE))</f>
        <v>23.177019163333775</v>
      </c>
      <c r="I34" s="16">
        <f>IF(ISERROR(VLOOKUP($B34,'[1]Cost Analysis'!$C:$FO,14,FALSE)),"",VLOOKUP($B34,'[1]Cost Analysis'!$C:$FO,14,FALSE))</f>
        <v>0.15</v>
      </c>
      <c r="J34" s="18">
        <f>IF(ISERROR(VLOOKUP($B34,'[1]Cost Analysis'!$C:$FO,15,FALSE)),"",VLOOKUP($B34,'[1]Cost Analysis'!$C:$FO,15,FALSE))</f>
        <v>1299988</v>
      </c>
      <c r="K34" s="16">
        <f>IF(ISERROR(VLOOKUP($B34,'[1]Cost Analysis'!$C:$FO,16,FALSE)),"",VLOOKUP($B34,'[1]Cost Analysis'!$C:$FO,16,FALSE))</f>
        <v>5.3158372520956856E-2</v>
      </c>
      <c r="L34" s="17">
        <f>IF(ISERROR(VLOOKUP($B34,'[1]Cost Analysis'!$C:$FO,17,FALSE)),"",VLOOKUP($B34,'[1]Cost Analysis'!$C:$FO,17,FALSE))</f>
        <v>2368262</v>
      </c>
      <c r="M34" s="17">
        <f>IF(ISERROR(VLOOKUP($B34,'[1]Cost Analysis'!$C:$FO,18,FALSE)),"",VLOOKUP($B34,'[1]Cost Analysis'!$C:$FO,18,FALSE))</f>
        <v>14.96333503926809</v>
      </c>
      <c r="N34" s="16">
        <f>IF(ISERROR(VLOOKUP($B34,'[1]Cost Analysis'!$C:$FO,19,FALSE)),"",VLOOKUP($B34,'[1]Cost Analysis'!$C:$FO,19,FALSE))</f>
        <v>9.6841627479043138E-2</v>
      </c>
      <c r="O34" s="11">
        <f>IF(ISERROR(VLOOKUP($B34,'[1]Cost Analysis'!$C:$FO,36,FALSE)),"",VLOOKUP($B34,'[1]Cost Analysis'!$C:$FO,36,FALSE))</f>
        <v>3228959</v>
      </c>
      <c r="P34" s="13" t="str">
        <f>IF(ISERROR(VLOOKUP($B34,'[1]Cost Analysis'!$C:$FO,37,FALSE)),"",VLOOKUP($B34,'[1]Cost Analysis'!$C:$FO,37,FALSE))</f>
        <v xml:space="preserve">Solar PV onsite owned </v>
      </c>
      <c r="Q34" s="11">
        <f>VLOOKUP($B34,'[1]Cost Analysis'!$C:$FO,39,FALSE)</f>
        <v>158271</v>
      </c>
      <c r="R34" s="11">
        <f>VLOOKUP($B34,'[1]Cost Analysis'!$C:$FO,40,FALSE)</f>
        <v>97271</v>
      </c>
      <c r="S34" s="13">
        <f>VLOOKUP($B34,'[1]Cost Analysis'!$C:$FO,41,FALSE)</f>
        <v>1</v>
      </c>
      <c r="T34" s="13">
        <f>VLOOKUP($B34,'[1]Cost Analysis'!$C:$FO,42,FALSE)</f>
        <v>5</v>
      </c>
      <c r="U34" s="13">
        <f>VLOOKUP($B34,'[1]Cost Analysis'!$C:$FO,43,FALSE)</f>
        <v>96</v>
      </c>
      <c r="V34" s="13" t="str">
        <f>VLOOKUP($B34,'[1]Cost Analysis'!$C:$FO,44,FALSE)</f>
        <v>Phius</v>
      </c>
      <c r="W34" s="13" t="str">
        <f>VLOOKUP($B34,'[1]Cost Analysis'!$C:$FO,45,FALSE)</f>
        <v>Capital Region</v>
      </c>
      <c r="X34" s="15" t="str">
        <f>VLOOKUP($B34,'[1]Cost Analysis'!$C:$FO,46,FALSE)</f>
        <v>All Electric</v>
      </c>
      <c r="Y34" s="14" t="str">
        <f>VLOOKUP($B34,'[1]Cost Analysis'!$C:$FO,47,FALSE)</f>
        <v>Market Rate</v>
      </c>
      <c r="Z34" s="13" t="str">
        <f>VLOOKUP($B34,'[1]Cost Analysis'!$C:$FO,48,FALSE)</f>
        <v>Yes</v>
      </c>
      <c r="AA34" s="13" t="str">
        <f>VLOOKUP($B34,'[1]Cost Analysis'!$C:$FO,49,FALSE)</f>
        <v>Wood Frame Over Podium</v>
      </c>
      <c r="AB34" s="13" t="str">
        <f>VLOOKUP($B34,'[1]Cost Analysis'!$C:$FO,50,FALSE)</f>
        <v>GSHP</v>
      </c>
      <c r="AC34" s="13" t="str">
        <f>VLOOKUP($B34,'[1]Cost Analysis'!$C:$FO,51,FALSE)</f>
        <v>ERV</v>
      </c>
      <c r="AD34" s="13" t="str">
        <f>VLOOKUP($B34,'[1]Cost Analysis'!$C:$FO,52,FALSE)</f>
        <v>GSHP</v>
      </c>
      <c r="AE34" s="13" t="str">
        <f>VLOOKUP($B34,'[1]Cost Analysis'!$C:$FO,53,FALSE)</f>
        <v>Yes</v>
      </c>
      <c r="AF34" s="13" t="str">
        <f>VLOOKUP($B34,'[1]Cost Analysis'!$C:$FO,54,FALSE)</f>
        <v>Mid Rise</v>
      </c>
      <c r="AG34" s="13" t="str">
        <f>IF(VLOOKUP($B34,'[1]Cost Analysis'!$C:$FO,55,FALSE)="PV","Yes","No")</f>
        <v>Yes</v>
      </c>
      <c r="AH34" s="13" t="str">
        <f>VLOOKUP($B34,'[1]Cost Analysis'!$C:$FO,57,FALSE)</f>
        <v>Yes</v>
      </c>
      <c r="AI34" s="13" t="str">
        <f>VLOOKUP($B34,'[1]Cost Analysis'!$C:$FO,58,FALSE)</f>
        <v>No</v>
      </c>
      <c r="AJ34" s="13" t="str">
        <f>VLOOKUP($B34,'[1]Cost Analysis'!$C:$FO,59,FALSE)</f>
        <v>No</v>
      </c>
      <c r="AK34" s="13">
        <f>VLOOKUP($B34,'[1]Cost Analysis'!$C:$FO,60,FALSE)</f>
        <v>5</v>
      </c>
      <c r="AL34" s="13" t="str">
        <f>VLOOKUP($B34,'[1]Cost Analysis'!$C:$FO,61,FALSE)</f>
        <v>No</v>
      </c>
      <c r="AM34" s="13" t="str">
        <f>VLOOKUP($B34,'[1]Cost Analysis'!$C:$FO,62,FALSE)</f>
        <v>NC</v>
      </c>
      <c r="AN34" s="12" t="str">
        <f>VLOOKUP($B34,'[1]Cost Analysis'!$C:$FO,63,FALSE)</f>
        <v>2019 ECC NYS</v>
      </c>
      <c r="AO34" s="12" t="str">
        <f>VLOOKUP($B34,'[1]Cost Analysis'!$C:$FO,67,FALSE)</f>
        <v>No</v>
      </c>
      <c r="AP34" s="12" t="str">
        <f>VLOOKUP($B34,'[1]Cost Analysis'!$C:$FO,69,FALSE)</f>
        <v>Yes</v>
      </c>
      <c r="AQ34" s="11">
        <f>VLOOKUP($B34,'[1]Cost Analysis'!$C:$FO,74,FALSE)</f>
        <v>3035189</v>
      </c>
      <c r="AR34" s="11">
        <f>VLOOKUP($B34,'[1]Cost Analysis'!$C:$FO,75,FALSE)</f>
        <v>0</v>
      </c>
      <c r="AS34" s="10">
        <f>IF(ISERROR(VLOOKUP($B34,'[1]Cost Analysis'!$C:$FO,76,FALSE)),"",VLOOKUP($B34,'[1]Cost Analysis'!$C:$FO,76,FALSE))</f>
        <v>1</v>
      </c>
      <c r="AT34" s="9">
        <f>VLOOKUP($B34,'[1]Cost Analysis'!$C:$FO,78,FALSE)</f>
        <v>0</v>
      </c>
      <c r="AU34" s="9">
        <f>VLOOKUP($B34,'[1]Cost Analysis'!$C:$FO,82,FALSE)</f>
        <v>0</v>
      </c>
      <c r="AV34" s="8">
        <f>VLOOKUP($B34,'[1]Cost Analysis'!$C:$FO,83,FALSE)</f>
        <v>0</v>
      </c>
      <c r="AW34" s="7" t="str">
        <f>IF(VLOOKUP($B34,'[1]Cost Analysis'!$C:$FO,86,FALSE)=0,"",VLOOKUP($B34,'[1]Cost Analysis'!$C:$FO,86,FALSE))</f>
        <v/>
      </c>
      <c r="AX34" s="7" t="str">
        <f>IF(VLOOKUP($B34,'[1]Cost Analysis'!$C:$FO,87,FALSE)=0,"",VLOOKUP($B34,'[1]Cost Analysis'!$C:$FO,87,FALSE))</f>
        <v/>
      </c>
      <c r="AY34" s="7" t="str">
        <f>IF(VLOOKUP($B34,'[1]Cost Analysis'!$C:$FO,88,FALSE)=0,"",VLOOKUP($B34,'[1]Cost Analysis'!$C:$FO,88,FALSE))</f>
        <v/>
      </c>
      <c r="AZ34" s="7" t="str">
        <f>IF(VLOOKUP($B34,'[1]Cost Analysis'!$C:$FO,89,FALSE)=0,"",VLOOKUP($B34,'[1]Cost Analysis'!$C:$FO,89,FALSE))</f>
        <v/>
      </c>
      <c r="BA34" s="7" t="str">
        <f>IF(VLOOKUP($B34,'[1]Cost Analysis'!$C:$FO,90,FALSE)=0,"",VLOOKUP($B34,'[1]Cost Analysis'!$C:$FO,90,FALSE))</f>
        <v/>
      </c>
      <c r="BB34" s="7" t="str">
        <f>IF(VLOOKUP($B34,'[1]Cost Analysis'!$C:$FO,91,FALSE)=0,"",VLOOKUP($B34,'[1]Cost Analysis'!$C:$FO,91,FALSE))</f>
        <v/>
      </c>
      <c r="BC34" s="7" t="str">
        <f>IF(VLOOKUP($B34,'[1]Cost Analysis'!$C:$FO,92,FALSE)=0,"",VLOOKUP($B34,'[1]Cost Analysis'!$C:$FO,92,FALSE))</f>
        <v/>
      </c>
      <c r="BD34" s="7" t="str">
        <f>IF(VLOOKUP($B34,'[1]Cost Analysis'!$C:$FO,93,FALSE)=0,"",VLOOKUP($B34,'[1]Cost Analysis'!$C:$FO,93,FALSE))</f>
        <v/>
      </c>
      <c r="BE34" s="7" t="str">
        <f>IF(VLOOKUP($B34,'[1]Cost Analysis'!$C:$FO,94,FALSE)=0,"",VLOOKUP($B34,'[1]Cost Analysis'!$C:$FO,94,FALSE))</f>
        <v/>
      </c>
      <c r="BF34" s="7" t="str">
        <f>IF(VLOOKUP($B34,'[1]Cost Analysis'!$C:$FO,95,FALSE)=0,"",VLOOKUP($B34,'[1]Cost Analysis'!$C:$FO,95,FALSE))</f>
        <v/>
      </c>
      <c r="BG34" s="7" t="str">
        <f>IF(VLOOKUP($B34,'[1]Cost Analysis'!$C:$FO,96,FALSE)=0,"",VLOOKUP($B34,'[1]Cost Analysis'!$C:$FO,96,FALSE))</f>
        <v/>
      </c>
      <c r="BH34" s="7" t="str">
        <f>IF(VLOOKUP($B34,'[1]Cost Analysis'!$C:$FO,97,FALSE)=0,"",VLOOKUP($B34,'[1]Cost Analysis'!$C:$FO,97,FALSE))</f>
        <v/>
      </c>
      <c r="BI34" s="7" t="str">
        <f>IF(VLOOKUP($B34,'[1]Cost Analysis'!$C:$FO,98,FALSE)=0,"",VLOOKUP($B34,'[1]Cost Analysis'!$C:$FO,98,FALSE))</f>
        <v/>
      </c>
      <c r="BJ34" s="7" t="str">
        <f>IF(VLOOKUP($B34,'[1]Cost Analysis'!$C:$FO,99,FALSE)=0,"",VLOOKUP($B34,'[1]Cost Analysis'!$C:$FO,99,FALSE))</f>
        <v/>
      </c>
      <c r="BK34" s="7" t="str">
        <f>IF(VLOOKUP($B34,'[1]Cost Analysis'!$C:$FO,100,FALSE)=0,"",VLOOKUP($B34,'[1]Cost Analysis'!$C:$FO,100,FALSE))</f>
        <v/>
      </c>
      <c r="BL34" s="7" t="str">
        <f>IF(VLOOKUP($B34,'[1]Cost Analysis'!$C:$FO,101,FALSE)=0,"",VLOOKUP($B34,'[1]Cost Analysis'!$C:$FO,101,FALSE))</f>
        <v/>
      </c>
      <c r="BM34" s="7" t="str">
        <f>IF(VLOOKUP($B34,'[1]Cost Analysis'!$C:$FO,102,FALSE)=0,"",VLOOKUP($B34,'[1]Cost Analysis'!$C:$FO,102,FALSE))</f>
        <v/>
      </c>
      <c r="BN34" s="7" t="str">
        <f>IF(VLOOKUP($B34,'[1]Cost Analysis'!$C:$FO,103,FALSE)=0,"",VLOOKUP($B34,'[1]Cost Analysis'!$C:$FO,103,FALSE))</f>
        <v/>
      </c>
      <c r="BO34" s="7" t="str">
        <f>IF(VLOOKUP($B34,'[1]Cost Analysis'!$C:$FO,104,FALSE)=0,"",VLOOKUP($B34,'[1]Cost Analysis'!$C:$FO,104,FALSE))</f>
        <v/>
      </c>
      <c r="BP34" s="7" t="str">
        <f>IF(VLOOKUP($B34,'[1]Cost Analysis'!$C:$FO,105,FALSE)=0,"",VLOOKUP($B34,'[1]Cost Analysis'!$C:$FO,105,FALSE))</f>
        <v/>
      </c>
      <c r="BQ34" s="7" t="str">
        <f>IF(VLOOKUP($B34,'[1]Cost Analysis'!$C:$FO,106,FALSE)=0,"",VLOOKUP($B34,'[1]Cost Analysis'!$C:$FO,106,FALSE))</f>
        <v/>
      </c>
      <c r="BR34" s="7" t="str">
        <f>IF(VLOOKUP($B34,'[1]Cost Analysis'!$C:$FO,107,FALSE)=0,"",VLOOKUP($B34,'[1]Cost Analysis'!$C:$FO,107,FALSE))</f>
        <v/>
      </c>
      <c r="BS34" s="7" t="str">
        <f>IF(VLOOKUP($B34,'[1]Cost Analysis'!$C:$FO,108,FALSE)=0,"",VLOOKUP($B34,'[1]Cost Analysis'!$C:$FO,108,FALSE))</f>
        <v/>
      </c>
      <c r="BT34" s="7" t="str">
        <f>IF(VLOOKUP($B34,'[1]Cost Analysis'!$C:$FO,109,FALSE)=0,"",VLOOKUP($B34,'[1]Cost Analysis'!$C:$FO,109,FALSE))</f>
        <v/>
      </c>
      <c r="BU34" s="7" t="str">
        <f>IF(VLOOKUP($B34,'[1]Cost Analysis'!$C:$FO,110,FALSE)=0,"",VLOOKUP($B34,'[1]Cost Analysis'!$C:$FO,110,FALSE))</f>
        <v/>
      </c>
      <c r="BV34" s="7" t="str">
        <f>IF(VLOOKUP($B34,'[1]Cost Analysis'!$C:$FO,111,FALSE)=0,"",VLOOKUP($B34,'[1]Cost Analysis'!$C:$FO,111,FALSE))</f>
        <v/>
      </c>
      <c r="BW34" s="7" t="str">
        <f>IF(VLOOKUP($B34,'[1]Cost Analysis'!$C:$FO,112,FALSE)=0,"",VLOOKUP($B34,'[1]Cost Analysis'!$C:$FO,112,FALSE))</f>
        <v/>
      </c>
      <c r="BX34" s="7" t="str">
        <f>IF(VLOOKUP($B34,'[1]Cost Analysis'!$C:$FO,125,FALSE)=0,"",VLOOKUP($B34,'[1]Cost Analysis'!$C:$FO,125,FALSE))</f>
        <v/>
      </c>
      <c r="BY34" s="7" t="str">
        <f>IF(VLOOKUP($B34,'[1]Cost Analysis'!$C:$FO,126,FALSE)=0,"",VLOOKUP($B34,'[1]Cost Analysis'!$C:$FO,126,FALSE))</f>
        <v/>
      </c>
      <c r="BZ34" s="7" t="str">
        <f>IF(VLOOKUP($B34,'[1]Cost Analysis'!$C:$FO,127,FALSE)=0,"",VLOOKUP($B34,'[1]Cost Analysis'!$C:$FO,127,FALSE))</f>
        <v/>
      </c>
      <c r="CA34" s="7" t="str">
        <f>IF(VLOOKUP($B34,'[1]Cost Analysis'!$C:$FO,128,FALSE)=0,"",VLOOKUP($B34,'[1]Cost Analysis'!$C:$FO,128,FALSE))</f>
        <v/>
      </c>
      <c r="CB34" s="7" t="str">
        <f>IF(VLOOKUP($B34,'[1]Cost Analysis'!$C:$FO,129,FALSE)=0,"",VLOOKUP($B34,'[1]Cost Analysis'!$C:$FO,129,FALSE))</f>
        <v/>
      </c>
      <c r="CC34" s="7" t="str">
        <f>IF(VLOOKUP($B34,'[1]Cost Analysis'!$C:$FO,130,FALSE)=0,"",VLOOKUP($B34,'[1]Cost Analysis'!$C:$FO,130,FALSE))</f>
        <v/>
      </c>
      <c r="CD34" s="7" t="str">
        <f>IF(VLOOKUP($B34,'[1]Cost Analysis'!$C:$FO,131,FALSE)=0,"",VLOOKUP($B34,'[1]Cost Analysis'!$C:$FO,131,FALSE))</f>
        <v/>
      </c>
      <c r="CE34" s="7" t="str">
        <f>IF(VLOOKUP($B34,'[1]Cost Analysis'!$C:$FO,132,FALSE)=0,"",VLOOKUP($B34,'[1]Cost Analysis'!$C:$FO,132,FALSE))</f>
        <v/>
      </c>
      <c r="CF34" s="7" t="str">
        <f>IF(VLOOKUP($B34,'[1]Cost Analysis'!$C:$FO,133,FALSE)=0,"",VLOOKUP($B34,'[1]Cost Analysis'!$C:$FO,133,FALSE))</f>
        <v/>
      </c>
      <c r="CG34" s="7" t="str">
        <f>IF(VLOOKUP($B34,'[1]Cost Analysis'!$C:$FO,134,FALSE)=0,"",VLOOKUP($B34,'[1]Cost Analysis'!$C:$FO,134,FALSE))</f>
        <v/>
      </c>
      <c r="CH34" s="7" t="str">
        <f>IF(VLOOKUP($B34,'[1]Cost Analysis'!$C:$FO,135,FALSE)=0,"",VLOOKUP($B34,'[1]Cost Analysis'!$C:$FO,135,FALSE))</f>
        <v/>
      </c>
      <c r="CI34" s="7" t="str">
        <f>IF(VLOOKUP($B34,'[1]Cost Analysis'!$C:$FO,136,FALSE)=0,"",VLOOKUP($B34,'[1]Cost Analysis'!$C:$FO,136,FALSE))</f>
        <v/>
      </c>
      <c r="CJ34" s="7" t="str">
        <f>IF(VLOOKUP($B34,'[1]Cost Analysis'!$C:$FO,137,FALSE)=0,"",VLOOKUP($B34,'[1]Cost Analysis'!$C:$FO,137,FALSE))</f>
        <v/>
      </c>
      <c r="CK34" s="7" t="str">
        <f>IF(VLOOKUP($B34,'[1]Cost Analysis'!$C:$FO,138,FALSE)=0,"",VLOOKUP($B34,'[1]Cost Analysis'!$C:$FO,138,FALSE))</f>
        <v/>
      </c>
      <c r="CL34" s="7" t="str">
        <f>IF(VLOOKUP($B34,'[1]Cost Analysis'!$C:$FO,139,FALSE)=0,"",VLOOKUP($B34,'[1]Cost Analysis'!$C:$FO,139,FALSE))</f>
        <v/>
      </c>
    </row>
    <row r="35" spans="1:90" ht="30" x14ac:dyDescent="0.25">
      <c r="A35" s="13" t="s">
        <v>16</v>
      </c>
      <c r="B35" s="20" t="s">
        <v>24</v>
      </c>
      <c r="C35" s="19" t="str">
        <f>VLOOKUP($B35,'[1]Cost Analysis'!$C:$FO,7,FALSE)</f>
        <v>Milestone 1</v>
      </c>
      <c r="D35" s="19" t="str">
        <f>VLOOKUP($B35,'[1]Cost Analysis'!$C:$FO,8,FALSE)</f>
        <v>Early Design</v>
      </c>
      <c r="E35" s="18">
        <f>IF(ISERROR(VLOOKUP($B35,'[1]Cost Analysis'!$C:$FO,9,FALSE)),"",VLOOKUP($B35,'[1]Cost Analysis'!$C:$FO,9,FALSE))</f>
        <v>34264241</v>
      </c>
      <c r="F35" s="17">
        <f>IF(ISERROR(VLOOKUP($B35,'[1]Cost Analysis'!$C:$FO,10,FALSE)),"",VLOOKUP($B35,'[1]Cost Analysis'!$C:$FO,10,FALSE))</f>
        <v>660.03438300964467</v>
      </c>
      <c r="G35" s="9">
        <f>IF(ISERROR(VLOOKUP($B35,'[1]Cost Analysis'!$C:$FO,12,FALSE)),"",VLOOKUP($B35,'[1]Cost Analysis'!$C:$FO,12,FALSE))</f>
        <v>2644526.53938324</v>
      </c>
      <c r="H35" s="17">
        <f>IF(ISERROR(VLOOKUP($B35,'[1]Cost Analysis'!$C:$FO,13,FALSE)),"",VLOOKUP($B35,'[1]Cost Analysis'!$C:$FO,13,FALSE))</f>
        <v>34.938915832781611</v>
      </c>
      <c r="I35" s="16">
        <f>IF(ISERROR(VLOOKUP($B35,'[1]Cost Analysis'!$C:$FO,14,FALSE)),"",VLOOKUP($B35,'[1]Cost Analysis'!$C:$FO,14,FALSE))</f>
        <v>5.2934993588464423E-2</v>
      </c>
      <c r="J35" s="18">
        <f>IF(ISERROR(VLOOKUP($B35,'[1]Cost Analysis'!$C:$FO,15,FALSE)),"",VLOOKUP($B35,'[1]Cost Analysis'!$C:$FO,15,FALSE))</f>
        <v>1279680</v>
      </c>
      <c r="K35" s="16">
        <f>IF(ISERROR(VLOOKUP($B35,'[1]Cost Analysis'!$C:$FO,16,FALSE)),"",VLOOKUP($B35,'[1]Cost Analysis'!$C:$FO,16,FALSE))</f>
        <v>3.7347390826488761E-2</v>
      </c>
      <c r="L35" s="17">
        <f>IF(ISERROR(VLOOKUP($B35,'[1]Cost Analysis'!$C:$FO,17,FALSE)),"",VLOOKUP($B35,'[1]Cost Analysis'!$C:$FO,17,FALSE))</f>
        <v>1364846.53938324</v>
      </c>
      <c r="M35" s="17">
        <f>IF(ISERROR(VLOOKUP($B35,'[1]Cost Analysis'!$C:$FO,18,FALSE)),"",VLOOKUP($B35,'[1]Cost Analysis'!$C:$FO,18,FALSE))</f>
        <v>18.506094667702861</v>
      </c>
      <c r="N35" s="16">
        <f>IF(ISERROR(VLOOKUP($B35,'[1]Cost Analysis'!$C:$FO,19,FALSE)),"",VLOOKUP($B35,'[1]Cost Analysis'!$C:$FO,19,FALSE))</f>
        <v>2.8038076718546408E-2</v>
      </c>
      <c r="O35" s="11">
        <f>IF(ISERROR(VLOOKUP($B35,'[1]Cost Analysis'!$C:$FO,36,FALSE)),"",VLOOKUP($B35,'[1]Cost Analysis'!$C:$FO,36,FALSE))</f>
        <v>186892</v>
      </c>
      <c r="P35" s="13" t="str">
        <f>IF(ISERROR(VLOOKUP($B35,'[1]Cost Analysis'!$C:$FO,37,FALSE)),"",VLOOKUP($B35,'[1]Cost Analysis'!$C:$FO,37,FALSE))</f>
        <v xml:space="preserve">Solar PV onsite owned </v>
      </c>
      <c r="Q35" s="11">
        <f>VLOOKUP($B35,'[1]Cost Analysis'!$C:$FO,39,FALSE)</f>
        <v>75690</v>
      </c>
      <c r="R35" s="11">
        <f>VLOOKUP($B35,'[1]Cost Analysis'!$C:$FO,40,FALSE)</f>
        <v>61840</v>
      </c>
      <c r="S35" s="13">
        <f>VLOOKUP($B35,'[1]Cost Analysis'!$C:$FO,41,FALSE)</f>
        <v>1</v>
      </c>
      <c r="T35" s="13">
        <f>VLOOKUP($B35,'[1]Cost Analysis'!$C:$FO,42,FALSE)</f>
        <v>7</v>
      </c>
      <c r="U35" s="13">
        <f>VLOOKUP($B35,'[1]Cost Analysis'!$C:$FO,43,FALSE)</f>
        <v>72</v>
      </c>
      <c r="V35" s="13" t="str">
        <f>VLOOKUP($B35,'[1]Cost Analysis'!$C:$FO,44,FALSE)</f>
        <v>PHI</v>
      </c>
      <c r="W35" s="13" t="str">
        <f>VLOOKUP($B35,'[1]Cost Analysis'!$C:$FO,45,FALSE)</f>
        <v>NYC</v>
      </c>
      <c r="X35" s="15" t="str">
        <f>VLOOKUP($B35,'[1]Cost Analysis'!$C:$FO,46,FALSE)</f>
        <v>All Electric</v>
      </c>
      <c r="Y35" s="14" t="str">
        <f>VLOOKUP($B35,'[1]Cost Analysis'!$C:$FO,47,FALSE)</f>
        <v>LMI</v>
      </c>
      <c r="Z35" s="13" t="str">
        <f>VLOOKUP($B35,'[1]Cost Analysis'!$C:$FO,48,FALSE)</f>
        <v>Yes</v>
      </c>
      <c r="AA35" s="13" t="str">
        <f>VLOOKUP($B35,'[1]Cost Analysis'!$C:$FO,49,FALSE)</f>
        <v>Block and Plank</v>
      </c>
      <c r="AB35" s="13" t="str">
        <f>VLOOKUP($B35,'[1]Cost Analysis'!$C:$FO,50,FALSE)</f>
        <v>ASHP</v>
      </c>
      <c r="AC35" s="13" t="str">
        <f>VLOOKUP($B35,'[1]Cost Analysis'!$C:$FO,51,FALSE)</f>
        <v>ERV</v>
      </c>
      <c r="AD35" s="13" t="str">
        <f>VLOOKUP($B35,'[1]Cost Analysis'!$C:$FO,52,FALSE)</f>
        <v>ASHP</v>
      </c>
      <c r="AE35" s="13" t="str">
        <f>VLOOKUP($B35,'[1]Cost Analysis'!$C:$FO,53,FALSE)</f>
        <v>Yes</v>
      </c>
      <c r="AF35" s="13" t="str">
        <f>VLOOKUP($B35,'[1]Cost Analysis'!$C:$FO,54,FALSE)</f>
        <v>Mid Rise</v>
      </c>
      <c r="AG35" s="13" t="str">
        <f>IF(VLOOKUP($B35,'[1]Cost Analysis'!$C:$FO,55,FALSE)="PV","Yes","No")</f>
        <v>Yes</v>
      </c>
      <c r="AH35" s="13" t="str">
        <f>VLOOKUP($B35,'[1]Cost Analysis'!$C:$FO,57,FALSE)</f>
        <v>Yes</v>
      </c>
      <c r="AI35" s="13" t="str">
        <f>VLOOKUP($B35,'[1]Cost Analysis'!$C:$FO,58,FALSE)</f>
        <v>No</v>
      </c>
      <c r="AJ35" s="13" t="str">
        <f>VLOOKUP($B35,'[1]Cost Analysis'!$C:$FO,59,FALSE)</f>
        <v>No</v>
      </c>
      <c r="AK35" s="13">
        <f>VLOOKUP($B35,'[1]Cost Analysis'!$C:$FO,60,FALSE)</f>
        <v>4</v>
      </c>
      <c r="AL35" s="13" t="str">
        <f>VLOOKUP($B35,'[1]Cost Analysis'!$C:$FO,61,FALSE)</f>
        <v>No</v>
      </c>
      <c r="AM35" s="13" t="str">
        <f>VLOOKUP($B35,'[1]Cost Analysis'!$C:$FO,62,FALSE)</f>
        <v>NC</v>
      </c>
      <c r="AN35" s="12" t="str">
        <f>VLOOKUP($B35,'[1]Cost Analysis'!$C:$FO,63,FALSE)</f>
        <v>2019 ECC NYS</v>
      </c>
      <c r="AO35" s="12" t="str">
        <f>VLOOKUP($B35,'[1]Cost Analysis'!$C:$FO,67,FALSE)</f>
        <v>Yes</v>
      </c>
      <c r="AP35" s="12" t="str">
        <f>VLOOKUP($B35,'[1]Cost Analysis'!$C:$FO,69,FALSE)</f>
        <v>No</v>
      </c>
      <c r="AQ35" s="11">
        <f>VLOOKUP($B35,'[1]Cost Analysis'!$C:$FO,74,FALSE)</f>
        <v>896624</v>
      </c>
      <c r="AR35" s="11">
        <f>VLOOKUP($B35,'[1]Cost Analysis'!$C:$FO,75,FALSE)</f>
        <v>709732</v>
      </c>
      <c r="AS35" s="10">
        <f>IF(ISERROR(VLOOKUP($B35,'[1]Cost Analysis'!$C:$FO,76,FALSE)),"",VLOOKUP($B35,'[1]Cost Analysis'!$C:$FO,76,FALSE))</f>
        <v>0.20843965809525508</v>
      </c>
      <c r="AT35" s="9">
        <f>VLOOKUP($B35,'[1]Cost Analysis'!$C:$FO,78,FALSE)</f>
        <v>41011.769999999997</v>
      </c>
      <c r="AU35" s="9">
        <f>VLOOKUP($B35,'[1]Cost Analysis'!$C:$FO,82,FALSE)</f>
        <v>0.63026186780593496</v>
      </c>
      <c r="AV35" s="8">
        <f>VLOOKUP($B35,'[1]Cost Analysis'!$C:$FO,83,FALSE)</f>
        <v>10.907040002458853</v>
      </c>
      <c r="AW35" s="7">
        <f>IF(VLOOKUP($B35,'[1]Cost Analysis'!$C:$FO,86,FALSE)=0,"",VLOOKUP($B35,'[1]Cost Analysis'!$C:$FO,86,FALSE))</f>
        <v>2922400</v>
      </c>
      <c r="AX35" s="7">
        <f>IF(VLOOKUP($B35,'[1]Cost Analysis'!$C:$FO,87,FALSE)=0,"",VLOOKUP($B35,'[1]Cost Analysis'!$C:$FO,87,FALSE))</f>
        <v>2579052</v>
      </c>
      <c r="AY35" s="7">
        <f>IF(VLOOKUP($B35,'[1]Cost Analysis'!$C:$FO,88,FALSE)=0,"",VLOOKUP($B35,'[1]Cost Analysis'!$C:$FO,88,FALSE))</f>
        <v>300000</v>
      </c>
      <c r="AZ35" s="7">
        <f>IF(VLOOKUP($B35,'[1]Cost Analysis'!$C:$FO,89,FALSE)=0,"",VLOOKUP($B35,'[1]Cost Analysis'!$C:$FO,89,FALSE))</f>
        <v>212800</v>
      </c>
      <c r="BA35" s="7">
        <f>IF(VLOOKUP($B35,'[1]Cost Analysis'!$C:$FO,90,FALSE)=0,"",VLOOKUP($B35,'[1]Cost Analysis'!$C:$FO,90,FALSE))</f>
        <v>273845</v>
      </c>
      <c r="BB35" s="7">
        <f>IF(VLOOKUP($B35,'[1]Cost Analysis'!$C:$FO,91,FALSE)=0,"",VLOOKUP($B35,'[1]Cost Analysis'!$C:$FO,91,FALSE))</f>
        <v>280000</v>
      </c>
      <c r="BC35" s="7" t="str">
        <f>IF(VLOOKUP($B35,'[1]Cost Analysis'!$C:$FO,92,FALSE)=0,"",VLOOKUP($B35,'[1]Cost Analysis'!$C:$FO,92,FALSE))</f>
        <v/>
      </c>
      <c r="BD35" s="7" t="str">
        <f>IF(VLOOKUP($B35,'[1]Cost Analysis'!$C:$FO,93,FALSE)=0,"",VLOOKUP($B35,'[1]Cost Analysis'!$C:$FO,93,FALSE))</f>
        <v/>
      </c>
      <c r="BE35" s="7">
        <f>IF(VLOOKUP($B35,'[1]Cost Analysis'!$C:$FO,94,FALSE)=0,"",VLOOKUP($B35,'[1]Cost Analysis'!$C:$FO,94,FALSE))</f>
        <v>260966</v>
      </c>
      <c r="BF35" s="7">
        <f>IF(VLOOKUP($B35,'[1]Cost Analysis'!$C:$FO,95,FALSE)=0,"",VLOOKUP($B35,'[1]Cost Analysis'!$C:$FO,95,FALSE))</f>
        <v>43128939.450000003</v>
      </c>
      <c r="BG35" s="7">
        <f>IF(VLOOKUP($B35,'[1]Cost Analysis'!$C:$FO,96,FALSE)=0,"",VLOOKUP($B35,'[1]Cost Analysis'!$C:$FO,96,FALSE))</f>
        <v>49958002.450000003</v>
      </c>
      <c r="BH35" s="7">
        <f>IF(VLOOKUP($B35,'[1]Cost Analysis'!$C:$FO,97,FALSE)=0,"",VLOOKUP($B35,'[1]Cost Analysis'!$C:$FO,97,FALSE))</f>
        <v>-279680</v>
      </c>
      <c r="BI35" s="7" t="str">
        <f>IF(VLOOKUP($B35,'[1]Cost Analysis'!$C:$FO,98,FALSE)=0,"",VLOOKUP($B35,'[1]Cost Analysis'!$C:$FO,98,FALSE))</f>
        <v/>
      </c>
      <c r="BJ35" s="7" t="str">
        <f>IF(VLOOKUP($B35,'[1]Cost Analysis'!$C:$FO,99,FALSE)=0,"",VLOOKUP($B35,'[1]Cost Analysis'!$C:$FO,99,FALSE))</f>
        <v/>
      </c>
      <c r="BK35" s="7" t="str">
        <f>IF(VLOOKUP($B35,'[1]Cost Analysis'!$C:$FO,100,FALSE)=0,"",VLOOKUP($B35,'[1]Cost Analysis'!$C:$FO,100,FALSE))</f>
        <v/>
      </c>
      <c r="BL35" s="7" t="str">
        <f>IF(VLOOKUP($B35,'[1]Cost Analysis'!$C:$FO,101,FALSE)=0,"",VLOOKUP($B35,'[1]Cost Analysis'!$C:$FO,101,FALSE))</f>
        <v/>
      </c>
      <c r="BM35" s="7" t="str">
        <f>IF(VLOOKUP($B35,'[1]Cost Analysis'!$C:$FO,102,FALSE)=0,"",VLOOKUP($B35,'[1]Cost Analysis'!$C:$FO,102,FALSE))</f>
        <v/>
      </c>
      <c r="BN35" s="7" t="str">
        <f>IF(VLOOKUP($B35,'[1]Cost Analysis'!$C:$FO,103,FALSE)=0,"",VLOOKUP($B35,'[1]Cost Analysis'!$C:$FO,103,FALSE))</f>
        <v/>
      </c>
      <c r="BO35" s="7">
        <f>IF(VLOOKUP($B35,'[1]Cost Analysis'!$C:$FO,104,FALSE)=0,"",VLOOKUP($B35,'[1]Cost Analysis'!$C:$FO,104,FALSE))</f>
        <v>-279680</v>
      </c>
      <c r="BP35" s="7">
        <f>IF(VLOOKUP($B35,'[1]Cost Analysis'!$C:$FO,105,FALSE)=0,"",VLOOKUP($B35,'[1]Cost Analysis'!$C:$FO,105,FALSE))</f>
        <v>-1000000</v>
      </c>
      <c r="BQ35" s="7" t="str">
        <f>IF(VLOOKUP($B35,'[1]Cost Analysis'!$C:$FO,106,FALSE)=0,"",VLOOKUP($B35,'[1]Cost Analysis'!$C:$FO,106,FALSE))</f>
        <v/>
      </c>
      <c r="BR35" s="7" t="str">
        <f>IF(VLOOKUP($B35,'[1]Cost Analysis'!$C:$FO,107,FALSE)=0,"",VLOOKUP($B35,'[1]Cost Analysis'!$C:$FO,107,FALSE))</f>
        <v/>
      </c>
      <c r="BS35" s="7" t="str">
        <f>IF(VLOOKUP($B35,'[1]Cost Analysis'!$C:$FO,108,FALSE)=0,"",VLOOKUP($B35,'[1]Cost Analysis'!$C:$FO,108,FALSE))</f>
        <v/>
      </c>
      <c r="BT35" s="7" t="str">
        <f>IF(VLOOKUP($B35,'[1]Cost Analysis'!$C:$FO,109,FALSE)=0,"",VLOOKUP($B35,'[1]Cost Analysis'!$C:$FO,109,FALSE))</f>
        <v/>
      </c>
      <c r="BU35" s="7" t="str">
        <f>IF(VLOOKUP($B35,'[1]Cost Analysis'!$C:$FO,110,FALSE)=0,"",VLOOKUP($B35,'[1]Cost Analysis'!$C:$FO,110,FALSE))</f>
        <v/>
      </c>
      <c r="BV35" s="7" t="str">
        <f>IF(VLOOKUP($B35,'[1]Cost Analysis'!$C:$FO,111,FALSE)=0,"",VLOOKUP($B35,'[1]Cost Analysis'!$C:$FO,111,FALSE))</f>
        <v/>
      </c>
      <c r="BW35" s="7">
        <f>IF(VLOOKUP($B35,'[1]Cost Analysis'!$C:$FO,112,FALSE)=0,"",VLOOKUP($B35,'[1]Cost Analysis'!$C:$FO,112,FALSE))</f>
        <v>48678322.450000003</v>
      </c>
      <c r="BX35" s="7">
        <f>IF(VLOOKUP($B35,'[1]Cost Analysis'!$C:$FO,125,FALSE)=0,"",VLOOKUP($B35,'[1]Cost Analysis'!$C:$FO,125,FALSE))</f>
        <v>2522880</v>
      </c>
      <c r="BY35" s="7">
        <f>IF(VLOOKUP($B35,'[1]Cost Analysis'!$C:$FO,126,FALSE)=0,"",VLOOKUP($B35,'[1]Cost Analysis'!$C:$FO,126,FALSE))</f>
        <v>1533240</v>
      </c>
      <c r="BZ35" s="7">
        <f>IF(VLOOKUP($B35,'[1]Cost Analysis'!$C:$FO,127,FALSE)=0,"",VLOOKUP($B35,'[1]Cost Analysis'!$C:$FO,127,FALSE))</f>
        <v>45000</v>
      </c>
      <c r="CA35" s="7">
        <f>IF(VLOOKUP($B35,'[1]Cost Analysis'!$C:$FO,128,FALSE)=0,"",VLOOKUP($B35,'[1]Cost Analysis'!$C:$FO,128,FALSE))</f>
        <v>180000</v>
      </c>
      <c r="CB35" s="7" t="str">
        <f>IF(VLOOKUP($B35,'[1]Cost Analysis'!$C:$FO,129,FALSE)=0,"",VLOOKUP($B35,'[1]Cost Analysis'!$C:$FO,129,FALSE))</f>
        <v/>
      </c>
      <c r="CC35" s="7">
        <f>IF(VLOOKUP($B35,'[1]Cost Analysis'!$C:$FO,130,FALSE)=0,"",VLOOKUP($B35,'[1]Cost Analysis'!$C:$FO,130,FALSE))</f>
        <v>135000</v>
      </c>
      <c r="CD35" s="7" t="str">
        <f>IF(VLOOKUP($B35,'[1]Cost Analysis'!$C:$FO,131,FALSE)=0,"",VLOOKUP($B35,'[1]Cost Analysis'!$C:$FO,131,FALSE))</f>
        <v/>
      </c>
      <c r="CE35" s="7">
        <f>IF(VLOOKUP($B35,'[1]Cost Analysis'!$C:$FO,132,FALSE)=0,"",VLOOKUP($B35,'[1]Cost Analysis'!$C:$FO,132,FALSE))</f>
        <v>14760</v>
      </c>
      <c r="CF35" s="7">
        <f>IF(VLOOKUP($B35,'[1]Cost Analysis'!$C:$FO,133,FALSE)=0,"",VLOOKUP($B35,'[1]Cost Analysis'!$C:$FO,133,FALSE))</f>
        <v>220500</v>
      </c>
      <c r="CG35" s="7">
        <f>IF(VLOOKUP($B35,'[1]Cost Analysis'!$C:$FO,134,FALSE)=0,"",VLOOKUP($B35,'[1]Cost Analysis'!$C:$FO,134,FALSE))</f>
        <v>42662095.910616763</v>
      </c>
      <c r="CH35" s="7">
        <f>IF(VLOOKUP($B35,'[1]Cost Analysis'!$C:$FO,135,FALSE)=0,"",VLOOKUP($B35,'[1]Cost Analysis'!$C:$FO,135,FALSE))</f>
        <v>47313475.910616763</v>
      </c>
      <c r="CI35" s="7" t="str">
        <f>IF(VLOOKUP($B35,'[1]Cost Analysis'!$C:$FO,136,FALSE)=0,"",VLOOKUP($B35,'[1]Cost Analysis'!$C:$FO,136,FALSE))</f>
        <v/>
      </c>
      <c r="CJ35" s="7" t="str">
        <f>IF(VLOOKUP($B35,'[1]Cost Analysis'!$C:$FO,137,FALSE)=0,"",VLOOKUP($B35,'[1]Cost Analysis'!$C:$FO,137,FALSE))</f>
        <v/>
      </c>
      <c r="CK35" s="7" t="str">
        <f>IF(VLOOKUP($B35,'[1]Cost Analysis'!$C:$FO,138,FALSE)=0,"",VLOOKUP($B35,'[1]Cost Analysis'!$C:$FO,138,FALSE))</f>
        <v/>
      </c>
      <c r="CL35" s="7">
        <f>IF(VLOOKUP($B35,'[1]Cost Analysis'!$C:$FO,139,FALSE)=0,"",VLOOKUP($B35,'[1]Cost Analysis'!$C:$FO,139,FALSE))</f>
        <v>47313475.910616763</v>
      </c>
    </row>
    <row r="36" spans="1:90" ht="30" x14ac:dyDescent="0.25">
      <c r="A36" s="13" t="s">
        <v>16</v>
      </c>
      <c r="B36" s="20" t="s">
        <v>23</v>
      </c>
      <c r="C36" s="19" t="str">
        <f>VLOOKUP($B36,'[1]Cost Analysis'!$C:$FO,7,FALSE)</f>
        <v>Milestone 3</v>
      </c>
      <c r="D36" s="19" t="str">
        <f>VLOOKUP($B36,'[1]Cost Analysis'!$C:$FO,8,FALSE)</f>
        <v>Under Construction</v>
      </c>
      <c r="E36" s="18">
        <f>IF(ISERROR(VLOOKUP($B36,'[1]Cost Analysis'!$C:$FO,9,FALSE)),"",VLOOKUP($B36,'[1]Cost Analysis'!$C:$FO,9,FALSE))</f>
        <v>13055750.949999999</v>
      </c>
      <c r="F36" s="17">
        <f>IF(ISERROR(VLOOKUP($B36,'[1]Cost Analysis'!$C:$FO,10,FALSE)),"",VLOOKUP($B36,'[1]Cost Analysis'!$C:$FO,10,FALSE))</f>
        <v>141.16767170537605</v>
      </c>
      <c r="G36" s="9">
        <f>IF(ISERROR(VLOOKUP($B36,'[1]Cost Analysis'!$C:$FO,12,FALSE)),"",VLOOKUP($B36,'[1]Cost Analysis'!$C:$FO,12,FALSE))</f>
        <v>1470000</v>
      </c>
      <c r="H36" s="17">
        <f>IF(ISERROR(VLOOKUP($B36,'[1]Cost Analysis'!$C:$FO,13,FALSE)),"",VLOOKUP($B36,'[1]Cost Analysis'!$C:$FO,13,FALSE))</f>
        <v>17.556593032308282</v>
      </c>
      <c r="I36" s="16">
        <f>IF(ISERROR(VLOOKUP($B36,'[1]Cost Analysis'!$C:$FO,14,FALSE)),"",VLOOKUP($B36,'[1]Cost Analysis'!$C:$FO,14,FALSE))</f>
        <v>0.12436695186805775</v>
      </c>
      <c r="J36" s="18">
        <f>IF(ISERROR(VLOOKUP($B36,'[1]Cost Analysis'!$C:$FO,15,FALSE)),"",VLOOKUP($B36,'[1]Cost Analysis'!$C:$FO,15,FALSE))</f>
        <v>1753300</v>
      </c>
      <c r="K36" s="16">
        <f>IF(ISERROR(VLOOKUP($B36,'[1]Cost Analysis'!$C:$FO,16,FALSE)),"",VLOOKUP($B36,'[1]Cost Analysis'!$C:$FO,16,FALSE))</f>
        <v>0.13429330926383826</v>
      </c>
      <c r="L36" s="17">
        <f>IF(ISERROR(VLOOKUP($B36,'[1]Cost Analysis'!$C:$FO,17,FALSE)),"",VLOOKUP($B36,'[1]Cost Analysis'!$C:$FO,17,FALSE))</f>
        <v>-129596.05000000075</v>
      </c>
      <c r="M36" s="17">
        <f>IF(ISERROR(VLOOKUP($B36,'[1]Cost Analysis'!$C:$FO,18,FALSE)),"",VLOOKUP($B36,'[1]Cost Analysis'!$C:$FO,18,FALSE))</f>
        <v>-1.6186553449023027</v>
      </c>
      <c r="N36" s="16">
        <f>IF(ISERROR(VLOOKUP($B36,'[1]Cost Analysis'!$C:$FO,19,FALSE)),"",VLOOKUP($B36,'[1]Cost Analysis'!$C:$FO,19,FALSE))</f>
        <v>-1.1466189994834772E-2</v>
      </c>
      <c r="O36" s="11">
        <f>IF(ISERROR(VLOOKUP($B36,'[1]Cost Analysis'!$C:$FO,36,FALSE)),"",VLOOKUP($B36,'[1]Cost Analysis'!$C:$FO,36,FALSE))</f>
        <v>1764384257</v>
      </c>
      <c r="P36" s="13" t="str">
        <f>IF(ISERROR(VLOOKUP($B36,'[1]Cost Analysis'!$C:$FO,37,FALSE)),"",VLOOKUP($B36,'[1]Cost Analysis'!$C:$FO,37,FALSE))</f>
        <v xml:space="preserve">Solar PV onsite owned </v>
      </c>
      <c r="Q36" s="11">
        <f>VLOOKUP($B36,'[1]Cost Analysis'!$C:$FO,39,FALSE)</f>
        <v>92484</v>
      </c>
      <c r="R36" s="11">
        <f>VLOOKUP($B36,'[1]Cost Analysis'!$C:$FO,40,FALSE)</f>
        <v>92484</v>
      </c>
      <c r="S36" s="13">
        <f>VLOOKUP($B36,'[1]Cost Analysis'!$C:$FO,41,FALSE)</f>
        <v>3</v>
      </c>
      <c r="T36" s="13">
        <f>VLOOKUP($B36,'[1]Cost Analysis'!$C:$FO,42,FALSE)</f>
        <v>3</v>
      </c>
      <c r="U36" s="13">
        <f>VLOOKUP($B36,'[1]Cost Analysis'!$C:$FO,43,FALSE)</f>
        <v>72</v>
      </c>
      <c r="V36" s="13" t="str">
        <f>VLOOKUP($B36,'[1]Cost Analysis'!$C:$FO,44,FALSE)</f>
        <v>ERI</v>
      </c>
      <c r="W36" s="13" t="str">
        <f>VLOOKUP($B36,'[1]Cost Analysis'!$C:$FO,45,FALSE)</f>
        <v>Capital Region</v>
      </c>
      <c r="X36" s="15" t="str">
        <f>VLOOKUP($B36,'[1]Cost Analysis'!$C:$FO,46,FALSE)</f>
        <v>All Electric</v>
      </c>
      <c r="Y36" s="14" t="str">
        <f>VLOOKUP($B36,'[1]Cost Analysis'!$C:$FO,47,FALSE)</f>
        <v>Market Rate</v>
      </c>
      <c r="Z36" s="13" t="str">
        <f>VLOOKUP($B36,'[1]Cost Analysis'!$C:$FO,48,FALSE)</f>
        <v>Yes</v>
      </c>
      <c r="AA36" s="13" t="str">
        <f>VLOOKUP($B36,'[1]Cost Analysis'!$C:$FO,49,FALSE)</f>
        <v>Wood Frame</v>
      </c>
      <c r="AB36" s="13" t="str">
        <f>VLOOKUP($B36,'[1]Cost Analysis'!$C:$FO,50,FALSE)</f>
        <v>Minisplit - ASHP</v>
      </c>
      <c r="AC36" s="13" t="str">
        <f>VLOOKUP($B36,'[1]Cost Analysis'!$C:$FO,51,FALSE)</f>
        <v>ERV</v>
      </c>
      <c r="AD36" s="13" t="str">
        <f>VLOOKUP($B36,'[1]Cost Analysis'!$C:$FO,52,FALSE)</f>
        <v>Solar Thermal</v>
      </c>
      <c r="AE36" s="13" t="str">
        <f>VLOOKUP($B36,'[1]Cost Analysis'!$C:$FO,53,FALSE)</f>
        <v>Yes</v>
      </c>
      <c r="AF36" s="13" t="str">
        <f>VLOOKUP($B36,'[1]Cost Analysis'!$C:$FO,54,FALSE)</f>
        <v>Low Rise</v>
      </c>
      <c r="AG36" s="13" t="str">
        <f>IF(VLOOKUP($B36,'[1]Cost Analysis'!$C:$FO,55,FALSE)="PV","Yes","No")</f>
        <v>Yes</v>
      </c>
      <c r="AH36" s="13" t="str">
        <f>VLOOKUP($B36,'[1]Cost Analysis'!$C:$FO,57,FALSE)</f>
        <v>Yes</v>
      </c>
      <c r="AI36" s="13" t="str">
        <f>VLOOKUP($B36,'[1]Cost Analysis'!$C:$FO,58,FALSE)</f>
        <v>No</v>
      </c>
      <c r="AJ36" s="13" t="str">
        <f>VLOOKUP($B36,'[1]Cost Analysis'!$C:$FO,59,FALSE)</f>
        <v>ASHP</v>
      </c>
      <c r="AK36" s="13">
        <f>VLOOKUP($B36,'[1]Cost Analysis'!$C:$FO,60,FALSE)</f>
        <v>5</v>
      </c>
      <c r="AL36" s="13" t="str">
        <f>VLOOKUP($B36,'[1]Cost Analysis'!$C:$FO,61,FALSE)</f>
        <v>No</v>
      </c>
      <c r="AM36" s="13" t="str">
        <f>VLOOKUP($B36,'[1]Cost Analysis'!$C:$FO,62,FALSE)</f>
        <v>NC</v>
      </c>
      <c r="AN36" s="12" t="str">
        <f>VLOOKUP($B36,'[1]Cost Analysis'!$C:$FO,63,FALSE)</f>
        <v>2019 ECC NYS</v>
      </c>
      <c r="AO36" s="12" t="str">
        <f>VLOOKUP($B36,'[1]Cost Analysis'!$C:$FO,67,FALSE)</f>
        <v>No</v>
      </c>
      <c r="AP36" s="12" t="str">
        <f>VLOOKUP($B36,'[1]Cost Analysis'!$C:$FO,69,FALSE)</f>
        <v>No</v>
      </c>
      <c r="AQ36" s="11">
        <f>VLOOKUP($B36,'[1]Cost Analysis'!$C:$FO,74,FALSE)</f>
        <v>1457402</v>
      </c>
      <c r="AR36" s="11">
        <f>VLOOKUP($B36,'[1]Cost Analysis'!$C:$FO,75,FALSE)</f>
        <v>339276</v>
      </c>
      <c r="AS36" s="10">
        <f>IF(ISERROR(VLOOKUP($B36,'[1]Cost Analysis'!$C:$FO,76,FALSE)),"",VLOOKUP($B36,'[1]Cost Analysis'!$C:$FO,76,FALSE))</f>
        <v>0.76720493041727678</v>
      </c>
      <c r="AT36" s="9">
        <f>VLOOKUP($B36,'[1]Cost Analysis'!$C:$FO,78,FALSE)</f>
        <v>0</v>
      </c>
      <c r="AU36" s="9">
        <f>VLOOKUP($B36,'[1]Cost Analysis'!$C:$FO,82,FALSE)</f>
        <v>0</v>
      </c>
      <c r="AV36" s="8">
        <f>VLOOKUP($B36,'[1]Cost Analysis'!$C:$FO,83,FALSE)</f>
        <v>3.6684831970935514</v>
      </c>
      <c r="AW36" s="7">
        <f>IF(VLOOKUP($B36,'[1]Cost Analysis'!$C:$FO,86,FALSE)=0,"",VLOOKUP($B36,'[1]Cost Analysis'!$C:$FO,86,FALSE))</f>
        <v>575523</v>
      </c>
      <c r="AX36" s="7">
        <f>IF(VLOOKUP($B36,'[1]Cost Analysis'!$C:$FO,87,FALSE)=0,"",VLOOKUP($B36,'[1]Cost Analysis'!$C:$FO,87,FALSE))</f>
        <v>1158315</v>
      </c>
      <c r="AY36" s="7">
        <f>IF(VLOOKUP($B36,'[1]Cost Analysis'!$C:$FO,88,FALSE)=0,"",VLOOKUP($B36,'[1]Cost Analysis'!$C:$FO,88,FALSE))</f>
        <v>60000</v>
      </c>
      <c r="AZ36" s="7">
        <f>IF(VLOOKUP($B36,'[1]Cost Analysis'!$C:$FO,89,FALSE)=0,"",VLOOKUP($B36,'[1]Cost Analysis'!$C:$FO,89,FALSE))</f>
        <v>293556</v>
      </c>
      <c r="BA36" s="7">
        <f>IF(VLOOKUP($B36,'[1]Cost Analysis'!$C:$FO,90,FALSE)=0,"",VLOOKUP($B36,'[1]Cost Analysis'!$C:$FO,90,FALSE))</f>
        <v>678000</v>
      </c>
      <c r="BB36" s="7">
        <f>IF(VLOOKUP($B36,'[1]Cost Analysis'!$C:$FO,91,FALSE)=0,"",VLOOKUP($B36,'[1]Cost Analysis'!$C:$FO,91,FALSE))</f>
        <v>51000</v>
      </c>
      <c r="BC36" s="7">
        <f>IF(VLOOKUP($B36,'[1]Cost Analysis'!$C:$FO,92,FALSE)=0,"",VLOOKUP($B36,'[1]Cost Analysis'!$C:$FO,92,FALSE))</f>
        <v>45000</v>
      </c>
      <c r="BD36" s="7">
        <f>IF(VLOOKUP($B36,'[1]Cost Analysis'!$C:$FO,93,FALSE)=0,"",VLOOKUP($B36,'[1]Cost Analysis'!$C:$FO,93,FALSE))</f>
        <v>22372</v>
      </c>
      <c r="BE36" s="7">
        <f>IF(VLOOKUP($B36,'[1]Cost Analysis'!$C:$FO,94,FALSE)=0,"",VLOOKUP($B36,'[1]Cost Analysis'!$C:$FO,94,FALSE))</f>
        <v>131321</v>
      </c>
      <c r="BF36" s="7">
        <f>IF(VLOOKUP($B36,'[1]Cost Analysis'!$C:$FO,95,FALSE)=0,"",VLOOKUP($B36,'[1]Cost Analysis'!$C:$FO,95,FALSE))</f>
        <v>10040663.949999999</v>
      </c>
      <c r="BG36" s="7">
        <f>IF(VLOOKUP($B36,'[1]Cost Analysis'!$C:$FO,96,FALSE)=0,"",VLOOKUP($B36,'[1]Cost Analysis'!$C:$FO,96,FALSE))</f>
        <v>13055750.949999999</v>
      </c>
      <c r="BH36" s="7">
        <f>IF(VLOOKUP($B36,'[1]Cost Analysis'!$C:$FO,97,FALSE)=0,"",VLOOKUP($B36,'[1]Cost Analysis'!$C:$FO,97,FALSE))</f>
        <v>-172000</v>
      </c>
      <c r="BI36" s="7">
        <f>IF(VLOOKUP($B36,'[1]Cost Analysis'!$C:$FO,98,FALSE)=0,"",VLOOKUP($B36,'[1]Cost Analysis'!$C:$FO,98,FALSE))</f>
        <v>-209250</v>
      </c>
      <c r="BJ36" s="7" t="str">
        <f>IF(VLOOKUP($B36,'[1]Cost Analysis'!$C:$FO,99,FALSE)=0,"",VLOOKUP($B36,'[1]Cost Analysis'!$C:$FO,99,FALSE))</f>
        <v/>
      </c>
      <c r="BK36" s="7">
        <f>IF(VLOOKUP($B36,'[1]Cost Analysis'!$C:$FO,100,FALSE)=0,"",VLOOKUP($B36,'[1]Cost Analysis'!$C:$FO,100,FALSE))</f>
        <v>-78000</v>
      </c>
      <c r="BL36" s="7" t="str">
        <f>IF(VLOOKUP($B36,'[1]Cost Analysis'!$C:$FO,101,FALSE)=0,"",VLOOKUP($B36,'[1]Cost Analysis'!$C:$FO,101,FALSE))</f>
        <v/>
      </c>
      <c r="BM36" s="7" t="str">
        <f>IF(VLOOKUP($B36,'[1]Cost Analysis'!$C:$FO,102,FALSE)=0,"",VLOOKUP($B36,'[1]Cost Analysis'!$C:$FO,102,FALSE))</f>
        <v/>
      </c>
      <c r="BN36" s="7">
        <f>IF(VLOOKUP($B36,'[1]Cost Analysis'!$C:$FO,103,FALSE)=0,"",VLOOKUP($B36,'[1]Cost Analysis'!$C:$FO,103,FALSE))</f>
        <v>-128250</v>
      </c>
      <c r="BO36" s="7">
        <f>IF(VLOOKUP($B36,'[1]Cost Analysis'!$C:$FO,104,FALSE)=0,"",VLOOKUP($B36,'[1]Cost Analysis'!$C:$FO,104,FALSE))</f>
        <v>-587500</v>
      </c>
      <c r="BP36" s="7">
        <f>IF(VLOOKUP($B36,'[1]Cost Analysis'!$C:$FO,105,FALSE)=0,"",VLOOKUP($B36,'[1]Cost Analysis'!$C:$FO,105,FALSE))</f>
        <v>-750000</v>
      </c>
      <c r="BQ36" s="7" t="str">
        <f>IF(VLOOKUP($B36,'[1]Cost Analysis'!$C:$FO,106,FALSE)=0,"",VLOOKUP($B36,'[1]Cost Analysis'!$C:$FO,106,FALSE))</f>
        <v/>
      </c>
      <c r="BR36" s="7">
        <f>IF(VLOOKUP($B36,'[1]Cost Analysis'!$C:$FO,107,FALSE)=0,"",VLOOKUP($B36,'[1]Cost Analysis'!$C:$FO,107,FALSE))</f>
        <v>-55800</v>
      </c>
      <c r="BS36" s="7" t="str">
        <f>IF(VLOOKUP($B36,'[1]Cost Analysis'!$C:$FO,108,FALSE)=0,"",VLOOKUP($B36,'[1]Cost Analysis'!$C:$FO,108,FALSE))</f>
        <v/>
      </c>
      <c r="BT36" s="7" t="str">
        <f>IF(VLOOKUP($B36,'[1]Cost Analysis'!$C:$FO,109,FALSE)=0,"",VLOOKUP($B36,'[1]Cost Analysis'!$C:$FO,109,FALSE))</f>
        <v/>
      </c>
      <c r="BU36" s="7">
        <f>IF(VLOOKUP($B36,'[1]Cost Analysis'!$C:$FO,110,FALSE)=0,"",VLOOKUP($B36,'[1]Cost Analysis'!$C:$FO,110,FALSE))</f>
        <v>-360000</v>
      </c>
      <c r="BV36" s="7">
        <f>IF(VLOOKUP($B36,'[1]Cost Analysis'!$C:$FO,111,FALSE)=0,"",VLOOKUP($B36,'[1]Cost Analysis'!$C:$FO,111,FALSE))</f>
        <v>-415800</v>
      </c>
      <c r="BW36" s="7">
        <f>IF(VLOOKUP($B36,'[1]Cost Analysis'!$C:$FO,112,FALSE)=0,"",VLOOKUP($B36,'[1]Cost Analysis'!$C:$FO,112,FALSE))</f>
        <v>11302450.949999999</v>
      </c>
      <c r="BX36" s="7">
        <f>IF(VLOOKUP($B36,'[1]Cost Analysis'!$C:$FO,125,FALSE)=0,"",VLOOKUP($B36,'[1]Cost Analysis'!$C:$FO,125,FALSE))</f>
        <v>575523</v>
      </c>
      <c r="BY36" s="7">
        <f>IF(VLOOKUP($B36,'[1]Cost Analysis'!$C:$FO,126,FALSE)=0,"",VLOOKUP($B36,'[1]Cost Analysis'!$C:$FO,126,FALSE))</f>
        <v>954315</v>
      </c>
      <c r="BZ36" s="7">
        <f>IF(VLOOKUP($B36,'[1]Cost Analysis'!$C:$FO,127,FALSE)=0,"",VLOOKUP($B36,'[1]Cost Analysis'!$C:$FO,127,FALSE))</f>
        <v>57600</v>
      </c>
      <c r="CA36" s="7">
        <f>IF(VLOOKUP($B36,'[1]Cost Analysis'!$C:$FO,128,FALSE)=0,"",VLOOKUP($B36,'[1]Cost Analysis'!$C:$FO,128,FALSE))</f>
        <v>275556</v>
      </c>
      <c r="CB36" s="7" t="str">
        <f>IF(VLOOKUP($B36,'[1]Cost Analysis'!$C:$FO,129,FALSE)=0,"",VLOOKUP($B36,'[1]Cost Analysis'!$C:$FO,129,FALSE))</f>
        <v/>
      </c>
      <c r="CC36" s="7">
        <f>IF(VLOOKUP($B36,'[1]Cost Analysis'!$C:$FO,130,FALSE)=0,"",VLOOKUP($B36,'[1]Cost Analysis'!$C:$FO,130,FALSE))</f>
        <v>45000</v>
      </c>
      <c r="CD36" s="7" t="str">
        <f>IF(VLOOKUP($B36,'[1]Cost Analysis'!$C:$FO,131,FALSE)=0,"",VLOOKUP($B36,'[1]Cost Analysis'!$C:$FO,131,FALSE))</f>
        <v/>
      </c>
      <c r="CE36" s="7" t="str">
        <f>IF(VLOOKUP($B36,'[1]Cost Analysis'!$C:$FO,132,FALSE)=0,"",VLOOKUP($B36,'[1]Cost Analysis'!$C:$FO,132,FALSE))</f>
        <v/>
      </c>
      <c r="CF36" s="7">
        <f>IF(VLOOKUP($B36,'[1]Cost Analysis'!$C:$FO,133,FALSE)=0,"",VLOOKUP($B36,'[1]Cost Analysis'!$C:$FO,133,FALSE))</f>
        <v>294662</v>
      </c>
      <c r="CG36" s="7">
        <f>IF(VLOOKUP($B36,'[1]Cost Analysis'!$C:$FO,134,FALSE)=0,"",VLOOKUP($B36,'[1]Cost Analysis'!$C:$FO,134,FALSE))</f>
        <v>9229391</v>
      </c>
      <c r="CH36" s="7">
        <f>IF(VLOOKUP($B36,'[1]Cost Analysis'!$C:$FO,135,FALSE)=0,"",VLOOKUP($B36,'[1]Cost Analysis'!$C:$FO,135,FALSE))</f>
        <v>11432047</v>
      </c>
      <c r="CI36" s="7" t="str">
        <f>IF(VLOOKUP($B36,'[1]Cost Analysis'!$C:$FO,136,FALSE)=0,"",VLOOKUP($B36,'[1]Cost Analysis'!$C:$FO,136,FALSE))</f>
        <v/>
      </c>
      <c r="CJ36" s="7" t="str">
        <f>IF(VLOOKUP($B36,'[1]Cost Analysis'!$C:$FO,137,FALSE)=0,"",VLOOKUP($B36,'[1]Cost Analysis'!$C:$FO,137,FALSE))</f>
        <v/>
      </c>
      <c r="CK36" s="7" t="str">
        <f>IF(VLOOKUP($B36,'[1]Cost Analysis'!$C:$FO,138,FALSE)=0,"",VLOOKUP($B36,'[1]Cost Analysis'!$C:$FO,138,FALSE))</f>
        <v/>
      </c>
      <c r="CL36" s="7">
        <f>IF(VLOOKUP($B36,'[1]Cost Analysis'!$C:$FO,139,FALSE)=0,"",VLOOKUP($B36,'[1]Cost Analysis'!$C:$FO,139,FALSE))</f>
        <v>11432047</v>
      </c>
    </row>
    <row r="37" spans="1:90" ht="30" x14ac:dyDescent="0.25">
      <c r="A37" s="13" t="s">
        <v>16</v>
      </c>
      <c r="B37" s="20" t="s">
        <v>22</v>
      </c>
      <c r="C37" s="19" t="str">
        <f>VLOOKUP($B37,'[1]Cost Analysis'!$C:$FO,7,FALSE)</f>
        <v>Proposal</v>
      </c>
      <c r="D37" s="19" t="str">
        <f>VLOOKUP($B37,'[1]Cost Analysis'!$C:$FO,8,FALSE)</f>
        <v>Early Design</v>
      </c>
      <c r="E37" s="18">
        <f>IF(ISERROR(VLOOKUP($B37,'[1]Cost Analysis'!$C:$FO,9,FALSE)),"",VLOOKUP($B37,'[1]Cost Analysis'!$C:$FO,9,FALSE))</f>
        <v>28948157</v>
      </c>
      <c r="F37" s="17">
        <f>IF(ISERROR(VLOOKUP($B37,'[1]Cost Analysis'!$C:$FO,10,FALSE)),"",VLOOKUP($B37,'[1]Cost Analysis'!$C:$FO,10,FALSE))</f>
        <v>373</v>
      </c>
      <c r="G37" s="9">
        <f>IF(ISERROR(VLOOKUP($B37,'[1]Cost Analysis'!$C:$FO,12,FALSE)),"",VLOOKUP($B37,'[1]Cost Analysis'!$C:$FO,12,FALSE))</f>
        <v>0</v>
      </c>
      <c r="H37" s="17">
        <f>IF(ISERROR(VLOOKUP($B37,'[1]Cost Analysis'!$C:$FO,13,FALSE)),"",VLOOKUP($B37,'[1]Cost Analysis'!$C:$FO,13,FALSE))</f>
        <v>0</v>
      </c>
      <c r="I37" s="16">
        <f>IF(ISERROR(VLOOKUP($B37,'[1]Cost Analysis'!$C:$FO,14,FALSE)),"",VLOOKUP($B37,'[1]Cost Analysis'!$C:$FO,14,FALSE))</f>
        <v>0</v>
      </c>
      <c r="J37" s="18">
        <f>IF(ISERROR(VLOOKUP($B37,'[1]Cost Analysis'!$C:$FO,15,FALSE)),"",VLOOKUP($B37,'[1]Cost Analysis'!$C:$FO,15,FALSE))</f>
        <v>1240800</v>
      </c>
      <c r="K37" s="16">
        <f>IF(ISERROR(VLOOKUP($B37,'[1]Cost Analysis'!$C:$FO,16,FALSE)),"",VLOOKUP($B37,'[1]Cost Analysis'!$C:$FO,16,FALSE))</f>
        <v>4.2862832338514678E-2</v>
      </c>
      <c r="L37" s="17">
        <f>IF(ISERROR(VLOOKUP($B37,'[1]Cost Analysis'!$C:$FO,17,FALSE)),"",VLOOKUP($B37,'[1]Cost Analysis'!$C:$FO,17,FALSE))</f>
        <v>-1240800</v>
      </c>
      <c r="M37" s="17">
        <f>IF(ISERROR(VLOOKUP($B37,'[1]Cost Analysis'!$C:$FO,18,FALSE)),"",VLOOKUP($B37,'[1]Cost Analysis'!$C:$FO,18,FALSE))</f>
        <v>-15.987836462265975</v>
      </c>
      <c r="N37" s="16">
        <f>IF(ISERROR(VLOOKUP($B37,'[1]Cost Analysis'!$C:$FO,19,FALSE)),"",VLOOKUP($B37,'[1]Cost Analysis'!$C:$FO,19,FALSE))</f>
        <v>-4.2862832338514678E-2</v>
      </c>
      <c r="O37" s="11">
        <f>IF(ISERROR(VLOOKUP($B37,'[1]Cost Analysis'!$C:$FO,36,FALSE)),"",VLOOKUP($B37,'[1]Cost Analysis'!$C:$FO,36,FALSE))</f>
        <v>816099</v>
      </c>
      <c r="P37" s="13" t="str">
        <f>IF(ISERROR(VLOOKUP($B37,'[1]Cost Analysis'!$C:$FO,37,FALSE)),"",VLOOKUP($B37,'[1]Cost Analysis'!$C:$FO,37,FALSE))</f>
        <v xml:space="preserve">Solar PV onsite  </v>
      </c>
      <c r="Q37" s="11">
        <f>VLOOKUP($B37,'[1]Cost Analysis'!$C:$FO,39,FALSE)</f>
        <v>77609</v>
      </c>
      <c r="R37" s="11">
        <f>VLOOKUP($B37,'[1]Cost Analysis'!$C:$FO,40,FALSE)</f>
        <v>68769</v>
      </c>
      <c r="S37" s="13">
        <f>VLOOKUP($B37,'[1]Cost Analysis'!$C:$FO,41,FALSE)</f>
        <v>1</v>
      </c>
      <c r="T37" s="13">
        <f>VLOOKUP($B37,'[1]Cost Analysis'!$C:$FO,42,FALSE)</f>
        <v>7</v>
      </c>
      <c r="U37" s="13">
        <f>VLOOKUP($B37,'[1]Cost Analysis'!$C:$FO,43,FALSE)</f>
        <v>69</v>
      </c>
      <c r="V37" s="13" t="str">
        <f>VLOOKUP($B37,'[1]Cost Analysis'!$C:$FO,44,FALSE)</f>
        <v>Phius</v>
      </c>
      <c r="W37" s="13" t="str">
        <f>VLOOKUP($B37,'[1]Cost Analysis'!$C:$FO,45,FALSE)</f>
        <v>Capital Region</v>
      </c>
      <c r="X37" s="15" t="str">
        <f>VLOOKUP($B37,'[1]Cost Analysis'!$C:$FO,46,FALSE)</f>
        <v>All Electric</v>
      </c>
      <c r="Y37" s="14" t="str">
        <f>VLOOKUP($B37,'[1]Cost Analysis'!$C:$FO,47,FALSE)</f>
        <v>LMI</v>
      </c>
      <c r="Z37" s="13" t="str">
        <f>VLOOKUP($B37,'[1]Cost Analysis'!$C:$FO,48,FALSE)</f>
        <v>Yes</v>
      </c>
      <c r="AA37" s="13" t="str">
        <f>VLOOKUP($B37,'[1]Cost Analysis'!$C:$FO,49,FALSE)</f>
        <v>Modular</v>
      </c>
      <c r="AB37" s="13" t="str">
        <f>VLOOKUP($B37,'[1]Cost Analysis'!$C:$FO,50,FALSE)</f>
        <v>GSHP</v>
      </c>
      <c r="AC37" s="13" t="str">
        <f>VLOOKUP($B37,'[1]Cost Analysis'!$C:$FO,51,FALSE)</f>
        <v>ERV</v>
      </c>
      <c r="AD37" s="13" t="str">
        <f>VLOOKUP($B37,'[1]Cost Analysis'!$C:$FO,52,FALSE)</f>
        <v>Solar Thermal</v>
      </c>
      <c r="AE37" s="13" t="str">
        <f>VLOOKUP($B37,'[1]Cost Analysis'!$C:$FO,53,FALSE)</f>
        <v>Yes</v>
      </c>
      <c r="AF37" s="13" t="str">
        <f>VLOOKUP($B37,'[1]Cost Analysis'!$C:$FO,54,FALSE)</f>
        <v>Mid Rise</v>
      </c>
      <c r="AG37" s="13" t="str">
        <f>IF(VLOOKUP($B37,'[1]Cost Analysis'!$C:$FO,55,FALSE)="PV","Yes","No")</f>
        <v>Yes</v>
      </c>
      <c r="AH37" s="13" t="str">
        <f>VLOOKUP($B37,'[1]Cost Analysis'!$C:$FO,57,FALSE)</f>
        <v>Yes</v>
      </c>
      <c r="AI37" s="13" t="str">
        <f>VLOOKUP($B37,'[1]Cost Analysis'!$C:$FO,58,FALSE)</f>
        <v>No</v>
      </c>
      <c r="AJ37" s="13" t="str">
        <f>VLOOKUP($B37,'[1]Cost Analysis'!$C:$FO,59,FALSE)</f>
        <v>GSHP</v>
      </c>
      <c r="AK37" s="13">
        <f>VLOOKUP($B37,'[1]Cost Analysis'!$C:$FO,60,FALSE)</f>
        <v>5</v>
      </c>
      <c r="AL37" s="13" t="str">
        <f>VLOOKUP($B37,'[1]Cost Analysis'!$C:$FO,61,FALSE)</f>
        <v>No</v>
      </c>
      <c r="AM37" s="13" t="str">
        <f>VLOOKUP($B37,'[1]Cost Analysis'!$C:$FO,62,FALSE)</f>
        <v>NC</v>
      </c>
      <c r="AN37" s="12" t="str">
        <f>VLOOKUP($B37,'[1]Cost Analysis'!$C:$FO,63,FALSE)</f>
        <v>2019 ECC NYS</v>
      </c>
      <c r="AO37" s="12" t="str">
        <f>VLOOKUP($B37,'[1]Cost Analysis'!$C:$FO,67,FALSE)</f>
        <v>Yes</v>
      </c>
      <c r="AP37" s="12" t="str">
        <f>VLOOKUP($B37,'[1]Cost Analysis'!$C:$FO,69,FALSE)</f>
        <v>Yes</v>
      </c>
      <c r="AQ37" s="11">
        <f>VLOOKUP($B37,'[1]Cost Analysis'!$C:$FO,74,FALSE)</f>
        <v>2636700</v>
      </c>
      <c r="AR37" s="11">
        <f>VLOOKUP($B37,'[1]Cost Analysis'!$C:$FO,75,FALSE)</f>
        <v>0</v>
      </c>
      <c r="AS37" s="10">
        <f>IF(ISERROR(VLOOKUP($B37,'[1]Cost Analysis'!$C:$FO,76,FALSE)),"",VLOOKUP($B37,'[1]Cost Analysis'!$C:$FO,76,FALSE))</f>
        <v>1</v>
      </c>
      <c r="AT37" s="9">
        <f>VLOOKUP($B37,'[1]Cost Analysis'!$C:$FO,78,FALSE)</f>
        <v>0</v>
      </c>
      <c r="AU37" s="9">
        <f>VLOOKUP($B37,'[1]Cost Analysis'!$C:$FO,82,FALSE)</f>
        <v>0</v>
      </c>
      <c r="AV37" s="8">
        <f>VLOOKUP($B37,'[1]Cost Analysis'!$C:$FO,83,FALSE)</f>
        <v>0</v>
      </c>
      <c r="AW37" s="7" t="str">
        <f>IF(VLOOKUP($B37,'[1]Cost Analysis'!$C:$FO,86,FALSE)=0,"",VLOOKUP($B37,'[1]Cost Analysis'!$C:$FO,86,FALSE))</f>
        <v/>
      </c>
      <c r="AX37" s="7" t="str">
        <f>IF(VLOOKUP($B37,'[1]Cost Analysis'!$C:$FO,87,FALSE)=0,"",VLOOKUP($B37,'[1]Cost Analysis'!$C:$FO,87,FALSE))</f>
        <v/>
      </c>
      <c r="AY37" s="7" t="str">
        <f>IF(VLOOKUP($B37,'[1]Cost Analysis'!$C:$FO,88,FALSE)=0,"",VLOOKUP($B37,'[1]Cost Analysis'!$C:$FO,88,FALSE))</f>
        <v/>
      </c>
      <c r="AZ37" s="7" t="str">
        <f>IF(VLOOKUP($B37,'[1]Cost Analysis'!$C:$FO,89,FALSE)=0,"",VLOOKUP($B37,'[1]Cost Analysis'!$C:$FO,89,FALSE))</f>
        <v/>
      </c>
      <c r="BA37" s="7" t="str">
        <f>IF(VLOOKUP($B37,'[1]Cost Analysis'!$C:$FO,90,FALSE)=0,"",VLOOKUP($B37,'[1]Cost Analysis'!$C:$FO,90,FALSE))</f>
        <v/>
      </c>
      <c r="BB37" s="7" t="str">
        <f>IF(VLOOKUP($B37,'[1]Cost Analysis'!$C:$FO,91,FALSE)=0,"",VLOOKUP($B37,'[1]Cost Analysis'!$C:$FO,91,FALSE))</f>
        <v/>
      </c>
      <c r="BC37" s="7" t="str">
        <f>IF(VLOOKUP($B37,'[1]Cost Analysis'!$C:$FO,92,FALSE)=0,"",VLOOKUP($B37,'[1]Cost Analysis'!$C:$FO,92,FALSE))</f>
        <v/>
      </c>
      <c r="BD37" s="7" t="str">
        <f>IF(VLOOKUP($B37,'[1]Cost Analysis'!$C:$FO,93,FALSE)=0,"",VLOOKUP($B37,'[1]Cost Analysis'!$C:$FO,93,FALSE))</f>
        <v/>
      </c>
      <c r="BE37" s="7" t="str">
        <f>IF(VLOOKUP($B37,'[1]Cost Analysis'!$C:$FO,94,FALSE)=0,"",VLOOKUP($B37,'[1]Cost Analysis'!$C:$FO,94,FALSE))</f>
        <v/>
      </c>
      <c r="BF37" s="7" t="str">
        <f>IF(VLOOKUP($B37,'[1]Cost Analysis'!$C:$FO,95,FALSE)=0,"",VLOOKUP($B37,'[1]Cost Analysis'!$C:$FO,95,FALSE))</f>
        <v/>
      </c>
      <c r="BG37" s="7" t="str">
        <f>IF(VLOOKUP($B37,'[1]Cost Analysis'!$C:$FO,96,FALSE)=0,"",VLOOKUP($B37,'[1]Cost Analysis'!$C:$FO,96,FALSE))</f>
        <v/>
      </c>
      <c r="BH37" s="7" t="str">
        <f>IF(VLOOKUP($B37,'[1]Cost Analysis'!$C:$FO,97,FALSE)=0,"",VLOOKUP($B37,'[1]Cost Analysis'!$C:$FO,97,FALSE))</f>
        <v/>
      </c>
      <c r="BI37" s="7" t="str">
        <f>IF(VLOOKUP($B37,'[1]Cost Analysis'!$C:$FO,98,FALSE)=0,"",VLOOKUP($B37,'[1]Cost Analysis'!$C:$FO,98,FALSE))</f>
        <v/>
      </c>
      <c r="BJ37" s="7" t="str">
        <f>IF(VLOOKUP($B37,'[1]Cost Analysis'!$C:$FO,99,FALSE)=0,"",VLOOKUP($B37,'[1]Cost Analysis'!$C:$FO,99,FALSE))</f>
        <v/>
      </c>
      <c r="BK37" s="7" t="str">
        <f>IF(VLOOKUP($B37,'[1]Cost Analysis'!$C:$FO,100,FALSE)=0,"",VLOOKUP($B37,'[1]Cost Analysis'!$C:$FO,100,FALSE))</f>
        <v/>
      </c>
      <c r="BL37" s="7" t="str">
        <f>IF(VLOOKUP($B37,'[1]Cost Analysis'!$C:$FO,101,FALSE)=0,"",VLOOKUP($B37,'[1]Cost Analysis'!$C:$FO,101,FALSE))</f>
        <v/>
      </c>
      <c r="BM37" s="7" t="str">
        <f>IF(VLOOKUP($B37,'[1]Cost Analysis'!$C:$FO,102,FALSE)=0,"",VLOOKUP($B37,'[1]Cost Analysis'!$C:$FO,102,FALSE))</f>
        <v/>
      </c>
      <c r="BN37" s="7" t="str">
        <f>IF(VLOOKUP($B37,'[1]Cost Analysis'!$C:$FO,103,FALSE)=0,"",VLOOKUP($B37,'[1]Cost Analysis'!$C:$FO,103,FALSE))</f>
        <v/>
      </c>
      <c r="BO37" s="7" t="str">
        <f>IF(VLOOKUP($B37,'[1]Cost Analysis'!$C:$FO,104,FALSE)=0,"",VLOOKUP($B37,'[1]Cost Analysis'!$C:$FO,104,FALSE))</f>
        <v/>
      </c>
      <c r="BP37" s="7" t="str">
        <f>IF(VLOOKUP($B37,'[1]Cost Analysis'!$C:$FO,105,FALSE)=0,"",VLOOKUP($B37,'[1]Cost Analysis'!$C:$FO,105,FALSE))</f>
        <v/>
      </c>
      <c r="BQ37" s="7" t="str">
        <f>IF(VLOOKUP($B37,'[1]Cost Analysis'!$C:$FO,106,FALSE)=0,"",VLOOKUP($B37,'[1]Cost Analysis'!$C:$FO,106,FALSE))</f>
        <v/>
      </c>
      <c r="BR37" s="7" t="str">
        <f>IF(VLOOKUP($B37,'[1]Cost Analysis'!$C:$FO,107,FALSE)=0,"",VLOOKUP($B37,'[1]Cost Analysis'!$C:$FO,107,FALSE))</f>
        <v/>
      </c>
      <c r="BS37" s="7" t="str">
        <f>IF(VLOOKUP($B37,'[1]Cost Analysis'!$C:$FO,108,FALSE)=0,"",VLOOKUP($B37,'[1]Cost Analysis'!$C:$FO,108,FALSE))</f>
        <v/>
      </c>
      <c r="BT37" s="7" t="str">
        <f>IF(VLOOKUP($B37,'[1]Cost Analysis'!$C:$FO,109,FALSE)=0,"",VLOOKUP($B37,'[1]Cost Analysis'!$C:$FO,109,FALSE))</f>
        <v/>
      </c>
      <c r="BU37" s="7" t="str">
        <f>IF(VLOOKUP($B37,'[1]Cost Analysis'!$C:$FO,110,FALSE)=0,"",VLOOKUP($B37,'[1]Cost Analysis'!$C:$FO,110,FALSE))</f>
        <v/>
      </c>
      <c r="BV37" s="7" t="str">
        <f>IF(VLOOKUP($B37,'[1]Cost Analysis'!$C:$FO,111,FALSE)=0,"",VLOOKUP($B37,'[1]Cost Analysis'!$C:$FO,111,FALSE))</f>
        <v/>
      </c>
      <c r="BW37" s="7" t="str">
        <f>IF(VLOOKUP($B37,'[1]Cost Analysis'!$C:$FO,112,FALSE)=0,"",VLOOKUP($B37,'[1]Cost Analysis'!$C:$FO,112,FALSE))</f>
        <v/>
      </c>
      <c r="BX37" s="7" t="str">
        <f>IF(VLOOKUP($B37,'[1]Cost Analysis'!$C:$FO,125,FALSE)=0,"",VLOOKUP($B37,'[1]Cost Analysis'!$C:$FO,125,FALSE))</f>
        <v/>
      </c>
      <c r="BY37" s="7" t="str">
        <f>IF(VLOOKUP($B37,'[1]Cost Analysis'!$C:$FO,126,FALSE)=0,"",VLOOKUP($B37,'[1]Cost Analysis'!$C:$FO,126,FALSE))</f>
        <v/>
      </c>
      <c r="BZ37" s="7" t="str">
        <f>IF(VLOOKUP($B37,'[1]Cost Analysis'!$C:$FO,127,FALSE)=0,"",VLOOKUP($B37,'[1]Cost Analysis'!$C:$FO,127,FALSE))</f>
        <v/>
      </c>
      <c r="CA37" s="7" t="str">
        <f>IF(VLOOKUP($B37,'[1]Cost Analysis'!$C:$FO,128,FALSE)=0,"",VLOOKUP($B37,'[1]Cost Analysis'!$C:$FO,128,FALSE))</f>
        <v/>
      </c>
      <c r="CB37" s="7" t="str">
        <f>IF(VLOOKUP($B37,'[1]Cost Analysis'!$C:$FO,129,FALSE)=0,"",VLOOKUP($B37,'[1]Cost Analysis'!$C:$FO,129,FALSE))</f>
        <v/>
      </c>
      <c r="CC37" s="7" t="str">
        <f>IF(VLOOKUP($B37,'[1]Cost Analysis'!$C:$FO,130,FALSE)=0,"",VLOOKUP($B37,'[1]Cost Analysis'!$C:$FO,130,FALSE))</f>
        <v/>
      </c>
      <c r="CD37" s="7" t="str">
        <f>IF(VLOOKUP($B37,'[1]Cost Analysis'!$C:$FO,131,FALSE)=0,"",VLOOKUP($B37,'[1]Cost Analysis'!$C:$FO,131,FALSE))</f>
        <v/>
      </c>
      <c r="CE37" s="7" t="str">
        <f>IF(VLOOKUP($B37,'[1]Cost Analysis'!$C:$FO,132,FALSE)=0,"",VLOOKUP($B37,'[1]Cost Analysis'!$C:$FO,132,FALSE))</f>
        <v/>
      </c>
      <c r="CF37" s="7" t="str">
        <f>IF(VLOOKUP($B37,'[1]Cost Analysis'!$C:$FO,133,FALSE)=0,"",VLOOKUP($B37,'[1]Cost Analysis'!$C:$FO,133,FALSE))</f>
        <v/>
      </c>
      <c r="CG37" s="7" t="str">
        <f>IF(VLOOKUP($B37,'[1]Cost Analysis'!$C:$FO,134,FALSE)=0,"",VLOOKUP($B37,'[1]Cost Analysis'!$C:$FO,134,FALSE))</f>
        <v/>
      </c>
      <c r="CH37" s="7" t="str">
        <f>IF(VLOOKUP($B37,'[1]Cost Analysis'!$C:$FO,135,FALSE)=0,"",VLOOKUP($B37,'[1]Cost Analysis'!$C:$FO,135,FALSE))</f>
        <v/>
      </c>
      <c r="CI37" s="7" t="str">
        <f>IF(VLOOKUP($B37,'[1]Cost Analysis'!$C:$FO,136,FALSE)=0,"",VLOOKUP($B37,'[1]Cost Analysis'!$C:$FO,136,FALSE))</f>
        <v/>
      </c>
      <c r="CJ37" s="7" t="str">
        <f>IF(VLOOKUP($B37,'[1]Cost Analysis'!$C:$FO,137,FALSE)=0,"",VLOOKUP($B37,'[1]Cost Analysis'!$C:$FO,137,FALSE))</f>
        <v/>
      </c>
      <c r="CK37" s="7" t="str">
        <f>IF(VLOOKUP($B37,'[1]Cost Analysis'!$C:$FO,138,FALSE)=0,"",VLOOKUP($B37,'[1]Cost Analysis'!$C:$FO,138,FALSE))</f>
        <v/>
      </c>
      <c r="CL37" s="7" t="str">
        <f>IF(VLOOKUP($B37,'[1]Cost Analysis'!$C:$FO,139,FALSE)=0,"",VLOOKUP($B37,'[1]Cost Analysis'!$C:$FO,139,FALSE))</f>
        <v/>
      </c>
    </row>
    <row r="38" spans="1:90" ht="30" x14ac:dyDescent="0.25">
      <c r="A38" s="13" t="s">
        <v>16</v>
      </c>
      <c r="B38" s="20" t="s">
        <v>21</v>
      </c>
      <c r="C38" s="19" t="str">
        <f>VLOOKUP($B38,'[1]Cost Analysis'!$C:$FO,7,FALSE)</f>
        <v>Milestone 2</v>
      </c>
      <c r="D38" s="19" t="str">
        <f>VLOOKUP($B38,'[1]Cost Analysis'!$C:$FO,8,FALSE)</f>
        <v>Early Design</v>
      </c>
      <c r="E38" s="18">
        <f>IF(ISERROR(VLOOKUP($B38,'[1]Cost Analysis'!$C:$FO,9,FALSE)),"",VLOOKUP($B38,'[1]Cost Analysis'!$C:$FO,9,FALSE))</f>
        <v>52629322.8332</v>
      </c>
      <c r="F38" s="17">
        <f>IF(ISERROR(VLOOKUP($B38,'[1]Cost Analysis'!$C:$FO,10,FALSE)),"",VLOOKUP($B38,'[1]Cost Analysis'!$C:$FO,10,FALSE))</f>
        <v>435.6768088576892</v>
      </c>
      <c r="G38" s="9">
        <f>IF(ISERROR(VLOOKUP($B38,'[1]Cost Analysis'!$C:$FO,12,FALSE)),"",VLOOKUP($B38,'[1]Cost Analysis'!$C:$FO,12,FALSE))</f>
        <v>3800000</v>
      </c>
      <c r="H38" s="17">
        <f>IF(ISERROR(VLOOKUP($B38,'[1]Cost Analysis'!$C:$FO,13,FALSE)),"",VLOOKUP($B38,'[1]Cost Analysis'!$C:$FO,13,FALSE))</f>
        <v>31.156827001879165</v>
      </c>
      <c r="I38" s="16">
        <f>IF(ISERROR(VLOOKUP($B38,'[1]Cost Analysis'!$C:$FO,14,FALSE)),"",VLOOKUP($B38,'[1]Cost Analysis'!$C:$FO,14,FALSE))</f>
        <v>7.151362287005808E-2</v>
      </c>
      <c r="J38" s="18">
        <f>IF(ISERROR(VLOOKUP($B38,'[1]Cost Analysis'!$C:$FO,15,FALSE)),"",VLOOKUP($B38,'[1]Cost Analysis'!$C:$FO,15,FALSE))</f>
        <v>1555000</v>
      </c>
      <c r="K38" s="16">
        <f>IF(ISERROR(VLOOKUP($B38,'[1]Cost Analysis'!$C:$FO,16,FALSE)),"",VLOOKUP($B38,'[1]Cost Analysis'!$C:$FO,16,FALSE))</f>
        <v>2.9546266535260528E-2</v>
      </c>
      <c r="L38" s="17">
        <f>IF(ISERROR(VLOOKUP($B38,'[1]Cost Analysis'!$C:$FO,17,FALSE)),"",VLOOKUP($B38,'[1]Cost Analysis'!$C:$FO,17,FALSE))</f>
        <v>2208713.5450000018</v>
      </c>
      <c r="M38" s="17">
        <f>IF(ISERROR(VLOOKUP($B38,'[1]Cost Analysis'!$C:$FO,18,FALSE)),"",VLOOKUP($B38,'[1]Cost Analysis'!$C:$FO,18,FALSE))</f>
        <v>18.840881593457716</v>
      </c>
      <c r="N38" s="16">
        <f>IF(ISERROR(VLOOKUP($B38,'[1]Cost Analysis'!$C:$FO,19,FALSE)),"",VLOOKUP($B38,'[1]Cost Analysis'!$C:$FO,19,FALSE))</f>
        <v>4.3245087207779184E-2</v>
      </c>
      <c r="O38" s="11">
        <f>IF(ISERROR(VLOOKUP($B38,'[1]Cost Analysis'!$C:$FO,36,FALSE)),"",VLOOKUP($B38,'[1]Cost Analysis'!$C:$FO,36,FALSE))</f>
        <v>426500</v>
      </c>
      <c r="P38" s="13" t="str">
        <f>IF(ISERROR(VLOOKUP($B38,'[1]Cost Analysis'!$C:$FO,37,FALSE)),"",VLOOKUP($B38,'[1]Cost Analysis'!$C:$FO,37,FALSE))</f>
        <v xml:space="preserve">Solar PV onsite owned </v>
      </c>
      <c r="Q38" s="11">
        <f>VLOOKUP($B38,'[1]Cost Analysis'!$C:$FO,39,FALSE)</f>
        <v>120799</v>
      </c>
      <c r="R38" s="11">
        <f>VLOOKUP($B38,'[1]Cost Analysis'!$C:$FO,40,FALSE)</f>
        <v>101142</v>
      </c>
      <c r="S38" s="13">
        <f>VLOOKUP($B38,'[1]Cost Analysis'!$C:$FO,41,FALSE)</f>
        <v>1</v>
      </c>
      <c r="T38" s="13">
        <f>VLOOKUP($B38,'[1]Cost Analysis'!$C:$FO,42,FALSE)</f>
        <v>6</v>
      </c>
      <c r="U38" s="13">
        <f>VLOOKUP($B38,'[1]Cost Analysis'!$C:$FO,43,FALSE)</f>
        <v>113</v>
      </c>
      <c r="V38" s="13" t="str">
        <f>VLOOKUP($B38,'[1]Cost Analysis'!$C:$FO,44,FALSE)</f>
        <v>ASHRAE</v>
      </c>
      <c r="W38" s="13" t="str">
        <f>VLOOKUP($B38,'[1]Cost Analysis'!$C:$FO,45,FALSE)</f>
        <v>Mid Hudson</v>
      </c>
      <c r="X38" s="15" t="str">
        <f>VLOOKUP($B38,'[1]Cost Analysis'!$C:$FO,46,FALSE)</f>
        <v>All Electric</v>
      </c>
      <c r="Y38" s="14" t="str">
        <f>VLOOKUP($B38,'[1]Cost Analysis'!$C:$FO,47,FALSE)</f>
        <v>LMI</v>
      </c>
      <c r="Z38" s="13" t="str">
        <f>VLOOKUP($B38,'[1]Cost Analysis'!$C:$FO,48,FALSE)</f>
        <v>Yes</v>
      </c>
      <c r="AA38" s="13" t="str">
        <f>VLOOKUP($B38,'[1]Cost Analysis'!$C:$FO,49,FALSE)</f>
        <v>Wood Frame Over Podium</v>
      </c>
      <c r="AB38" s="13" t="str">
        <f>VLOOKUP($B38,'[1]Cost Analysis'!$C:$FO,50,FALSE)</f>
        <v>VRF - ASHP</v>
      </c>
      <c r="AC38" s="13" t="str">
        <f>VLOOKUP($B38,'[1]Cost Analysis'!$C:$FO,51,FALSE)</f>
        <v>ERV</v>
      </c>
      <c r="AD38" s="13" t="str">
        <f>VLOOKUP($B38,'[1]Cost Analysis'!$C:$FO,52,FALSE)</f>
        <v>ASHP</v>
      </c>
      <c r="AE38" s="13" t="str">
        <f>VLOOKUP($B38,'[1]Cost Analysis'!$C:$FO,53,FALSE)</f>
        <v>Yes</v>
      </c>
      <c r="AF38" s="13" t="str">
        <f>VLOOKUP($B38,'[1]Cost Analysis'!$C:$FO,54,FALSE)</f>
        <v>Mid Rise</v>
      </c>
      <c r="AG38" s="13" t="str">
        <f>IF(VLOOKUP($B38,'[1]Cost Analysis'!$C:$FO,55,FALSE)="PV","Yes","No")</f>
        <v>Yes</v>
      </c>
      <c r="AH38" s="13" t="str">
        <f>VLOOKUP($B38,'[1]Cost Analysis'!$C:$FO,57,FALSE)</f>
        <v>Yes</v>
      </c>
      <c r="AI38" s="13" t="str">
        <f>VLOOKUP($B38,'[1]Cost Analysis'!$C:$FO,58,FALSE)</f>
        <v>No</v>
      </c>
      <c r="AJ38" s="13" t="str">
        <f>VLOOKUP($B38,'[1]Cost Analysis'!$C:$FO,59,FALSE)</f>
        <v>No</v>
      </c>
      <c r="AK38" s="13">
        <f>VLOOKUP($B38,'[1]Cost Analysis'!$C:$FO,60,FALSE)</f>
        <v>5</v>
      </c>
      <c r="AL38" s="13" t="str">
        <f>VLOOKUP($B38,'[1]Cost Analysis'!$C:$FO,61,FALSE)</f>
        <v>No</v>
      </c>
      <c r="AM38" s="13" t="str">
        <f>VLOOKUP($B38,'[1]Cost Analysis'!$C:$FO,62,FALSE)</f>
        <v>NC</v>
      </c>
      <c r="AN38" s="12" t="str">
        <f>VLOOKUP($B38,'[1]Cost Analysis'!$C:$FO,63,FALSE)</f>
        <v>2019 ECC NYS</v>
      </c>
      <c r="AO38" s="12" t="str">
        <f>VLOOKUP($B38,'[1]Cost Analysis'!$C:$FO,67,FALSE)</f>
        <v>Yes</v>
      </c>
      <c r="AP38" s="12" t="str">
        <f>VLOOKUP($B38,'[1]Cost Analysis'!$C:$FO,69,FALSE)</f>
        <v>No</v>
      </c>
      <c r="AQ38" s="11">
        <f>VLOOKUP($B38,'[1]Cost Analysis'!$C:$FO,74,FALSE)</f>
        <v>3064191</v>
      </c>
      <c r="AR38" s="11">
        <f>VLOOKUP($B38,'[1]Cost Analysis'!$C:$FO,75,FALSE)</f>
        <v>2637691</v>
      </c>
      <c r="AS38" s="10">
        <f>IF(ISERROR(VLOOKUP($B38,'[1]Cost Analysis'!$C:$FO,76,FALSE)),"",VLOOKUP($B38,'[1]Cost Analysis'!$C:$FO,76,FALSE))</f>
        <v>0.13918845137264615</v>
      </c>
      <c r="AT38" s="9">
        <f>VLOOKUP($B38,'[1]Cost Analysis'!$C:$FO,78,FALSE)</f>
        <v>166141</v>
      </c>
      <c r="AU38" s="9">
        <f>VLOOKUP($B38,'[1]Cost Analysis'!$C:$FO,82,FALSE)</f>
        <v>1.3753507893277261</v>
      </c>
      <c r="AV38" s="8">
        <f>VLOOKUP($B38,'[1]Cost Analysis'!$C:$FO,83,FALSE)</f>
        <v>21.835371153734716</v>
      </c>
      <c r="AW38" s="7">
        <f>IF(VLOOKUP($B38,'[1]Cost Analysis'!$C:$FO,86,FALSE)=0,"",VLOOKUP($B38,'[1]Cost Analysis'!$C:$FO,86,FALSE))</f>
        <v>2900092.81</v>
      </c>
      <c r="AX38" s="7">
        <f>IF(VLOOKUP($B38,'[1]Cost Analysis'!$C:$FO,87,FALSE)=0,"",VLOOKUP($B38,'[1]Cost Analysis'!$C:$FO,87,FALSE))</f>
        <v>2407694.9310000003</v>
      </c>
      <c r="AY38" s="7">
        <f>IF(VLOOKUP($B38,'[1]Cost Analysis'!$C:$FO,88,FALSE)=0,"",VLOOKUP($B38,'[1]Cost Analysis'!$C:$FO,88,FALSE))</f>
        <v>1545000</v>
      </c>
      <c r="AZ38" s="7">
        <f>IF(VLOOKUP($B38,'[1]Cost Analysis'!$C:$FO,89,FALSE)=0,"",VLOOKUP($B38,'[1]Cost Analysis'!$C:$FO,89,FALSE))</f>
        <v>374147</v>
      </c>
      <c r="BA38" s="7">
        <f>IF(VLOOKUP($B38,'[1]Cost Analysis'!$C:$FO,90,FALSE)=0,"",VLOOKUP($B38,'[1]Cost Analysis'!$C:$FO,90,FALSE))</f>
        <v>411400</v>
      </c>
      <c r="BB38" s="7">
        <f>IF(VLOOKUP($B38,'[1]Cost Analysis'!$C:$FO,91,FALSE)=0,"",VLOOKUP($B38,'[1]Cost Analysis'!$C:$FO,91,FALSE))</f>
        <v>281632.424</v>
      </c>
      <c r="BC38" s="7" t="str">
        <f>IF(VLOOKUP($B38,'[1]Cost Analysis'!$C:$FO,92,FALSE)=0,"",VLOOKUP($B38,'[1]Cost Analysis'!$C:$FO,92,FALSE))</f>
        <v/>
      </c>
      <c r="BD38" s="7">
        <f>IF(VLOOKUP($B38,'[1]Cost Analysis'!$C:$FO,93,FALSE)=0,"",VLOOKUP($B38,'[1]Cost Analysis'!$C:$FO,93,FALSE))</f>
        <v>37000</v>
      </c>
      <c r="BE38" s="7">
        <f>IF(VLOOKUP($B38,'[1]Cost Analysis'!$C:$FO,94,FALSE)=0,"",VLOOKUP($B38,'[1]Cost Analysis'!$C:$FO,94,FALSE))</f>
        <v>1742800</v>
      </c>
      <c r="BF38" s="7">
        <f>IF(VLOOKUP($B38,'[1]Cost Analysis'!$C:$FO,95,FALSE)=0,"",VLOOKUP($B38,'[1]Cost Analysis'!$C:$FO,95,FALSE))</f>
        <v>42929555.668200001</v>
      </c>
      <c r="BG38" s="7">
        <f>IF(VLOOKUP($B38,'[1]Cost Analysis'!$C:$FO,96,FALSE)=0,"",VLOOKUP($B38,'[1]Cost Analysis'!$C:$FO,96,FALSE))</f>
        <v>52629322.8332</v>
      </c>
      <c r="BH38" s="7">
        <f>IF(VLOOKUP($B38,'[1]Cost Analysis'!$C:$FO,97,FALSE)=0,"",VLOOKUP($B38,'[1]Cost Analysis'!$C:$FO,97,FALSE))</f>
        <v>-434000</v>
      </c>
      <c r="BI38" s="7">
        <f>IF(VLOOKUP($B38,'[1]Cost Analysis'!$C:$FO,98,FALSE)=0,"",VLOOKUP($B38,'[1]Cost Analysis'!$C:$FO,98,FALSE))</f>
        <v>-121000</v>
      </c>
      <c r="BJ38" s="7" t="str">
        <f>IF(VLOOKUP($B38,'[1]Cost Analysis'!$C:$FO,99,FALSE)=0,"",VLOOKUP($B38,'[1]Cost Analysis'!$C:$FO,99,FALSE))</f>
        <v/>
      </c>
      <c r="BK38" s="7" t="str">
        <f>IF(VLOOKUP($B38,'[1]Cost Analysis'!$C:$FO,100,FALSE)=0,"",VLOOKUP($B38,'[1]Cost Analysis'!$C:$FO,100,FALSE))</f>
        <v/>
      </c>
      <c r="BL38" s="7" t="str">
        <f>IF(VLOOKUP($B38,'[1]Cost Analysis'!$C:$FO,101,FALSE)=0,"",VLOOKUP($B38,'[1]Cost Analysis'!$C:$FO,101,FALSE))</f>
        <v/>
      </c>
      <c r="BM38" s="7" t="str">
        <f>IF(VLOOKUP($B38,'[1]Cost Analysis'!$C:$FO,102,FALSE)=0,"",VLOOKUP($B38,'[1]Cost Analysis'!$C:$FO,102,FALSE))</f>
        <v/>
      </c>
      <c r="BN38" s="7" t="str">
        <f>IF(VLOOKUP($B38,'[1]Cost Analysis'!$C:$FO,103,FALSE)=0,"",VLOOKUP($B38,'[1]Cost Analysis'!$C:$FO,103,FALSE))</f>
        <v/>
      </c>
      <c r="BO38" s="7">
        <f>IF(VLOOKUP($B38,'[1]Cost Analysis'!$C:$FO,104,FALSE)=0,"",VLOOKUP($B38,'[1]Cost Analysis'!$C:$FO,104,FALSE))</f>
        <v>-555000</v>
      </c>
      <c r="BP38" s="7">
        <f>IF(VLOOKUP($B38,'[1]Cost Analysis'!$C:$FO,105,FALSE)=0,"",VLOOKUP($B38,'[1]Cost Analysis'!$C:$FO,105,FALSE))</f>
        <v>-1000000</v>
      </c>
      <c r="BQ38" s="7" t="str">
        <f>IF(VLOOKUP($B38,'[1]Cost Analysis'!$C:$FO,106,FALSE)=0,"",VLOOKUP($B38,'[1]Cost Analysis'!$C:$FO,106,FALSE))</f>
        <v/>
      </c>
      <c r="BR38" s="7" t="str">
        <f>IF(VLOOKUP($B38,'[1]Cost Analysis'!$C:$FO,107,FALSE)=0,"",VLOOKUP($B38,'[1]Cost Analysis'!$C:$FO,107,FALSE))</f>
        <v/>
      </c>
      <c r="BS38" s="7" t="str">
        <f>IF(VLOOKUP($B38,'[1]Cost Analysis'!$C:$FO,108,FALSE)=0,"",VLOOKUP($B38,'[1]Cost Analysis'!$C:$FO,108,FALSE))</f>
        <v/>
      </c>
      <c r="BT38" s="7" t="str">
        <f>IF(VLOOKUP($B38,'[1]Cost Analysis'!$C:$FO,109,FALSE)=0,"",VLOOKUP($B38,'[1]Cost Analysis'!$C:$FO,109,FALSE))</f>
        <v/>
      </c>
      <c r="BU38" s="7" t="str">
        <f>IF(VLOOKUP($B38,'[1]Cost Analysis'!$C:$FO,110,FALSE)=0,"",VLOOKUP($B38,'[1]Cost Analysis'!$C:$FO,110,FALSE))</f>
        <v/>
      </c>
      <c r="BV38" s="7" t="str">
        <f>IF(VLOOKUP($B38,'[1]Cost Analysis'!$C:$FO,111,FALSE)=0,"",VLOOKUP($B38,'[1]Cost Analysis'!$C:$FO,111,FALSE))</f>
        <v/>
      </c>
      <c r="BW38" s="7">
        <f>IF(VLOOKUP($B38,'[1]Cost Analysis'!$C:$FO,112,FALSE)=0,"",VLOOKUP($B38,'[1]Cost Analysis'!$C:$FO,112,FALSE))</f>
        <v>51074322.8332</v>
      </c>
      <c r="BX38" s="7">
        <f>IF(VLOOKUP($B38,'[1]Cost Analysis'!$C:$FO,125,FALSE)=0,"",VLOOKUP($B38,'[1]Cost Analysis'!$C:$FO,125,FALSE))</f>
        <v>924289</v>
      </c>
      <c r="BY38" s="7">
        <f>IF(VLOOKUP($B38,'[1]Cost Analysis'!$C:$FO,126,FALSE)=0,"",VLOOKUP($B38,'[1]Cost Analysis'!$C:$FO,126,FALSE))</f>
        <v>1677303.6199999999</v>
      </c>
      <c r="BZ38" s="7">
        <f>IF(VLOOKUP($B38,'[1]Cost Analysis'!$C:$FO,127,FALSE)=0,"",VLOOKUP($B38,'[1]Cost Analysis'!$C:$FO,127,FALSE))</f>
        <v>1200000</v>
      </c>
      <c r="CA38" s="7">
        <f>IF(VLOOKUP($B38,'[1]Cost Analysis'!$C:$FO,128,FALSE)=0,"",VLOOKUP($B38,'[1]Cost Analysis'!$C:$FO,128,FALSE))</f>
        <v>251559</v>
      </c>
      <c r="CB38" s="7" t="str">
        <f>IF(VLOOKUP($B38,'[1]Cost Analysis'!$C:$FO,129,FALSE)=0,"",VLOOKUP($B38,'[1]Cost Analysis'!$C:$FO,129,FALSE))</f>
        <v/>
      </c>
      <c r="CC38" s="7">
        <f>IF(VLOOKUP($B38,'[1]Cost Analysis'!$C:$FO,130,FALSE)=0,"",VLOOKUP($B38,'[1]Cost Analysis'!$C:$FO,130,FALSE))</f>
        <v>217802</v>
      </c>
      <c r="CD38" s="7" t="str">
        <f>IF(VLOOKUP($B38,'[1]Cost Analysis'!$C:$FO,131,FALSE)=0,"",VLOOKUP($B38,'[1]Cost Analysis'!$C:$FO,131,FALSE))</f>
        <v/>
      </c>
      <c r="CE38" s="7">
        <f>IF(VLOOKUP($B38,'[1]Cost Analysis'!$C:$FO,132,FALSE)=0,"",VLOOKUP($B38,'[1]Cost Analysis'!$C:$FO,132,FALSE))</f>
        <v>4000</v>
      </c>
      <c r="CF38" s="7">
        <f>IF(VLOOKUP($B38,'[1]Cost Analysis'!$C:$FO,133,FALSE)=0,"",VLOOKUP($B38,'[1]Cost Analysis'!$C:$FO,133,FALSE))</f>
        <v>1661100</v>
      </c>
      <c r="CG38" s="7">
        <f>IF(VLOOKUP($B38,'[1]Cost Analysis'!$C:$FO,134,FALSE)=0,"",VLOOKUP($B38,'[1]Cost Analysis'!$C:$FO,134,FALSE))</f>
        <v>42929555.668200001</v>
      </c>
      <c r="CH38" s="7">
        <f>IF(VLOOKUP($B38,'[1]Cost Analysis'!$C:$FO,135,FALSE)=0,"",VLOOKUP($B38,'[1]Cost Analysis'!$C:$FO,135,FALSE))</f>
        <v>48865609.288199998</v>
      </c>
      <c r="CI38" s="7" t="str">
        <f>IF(VLOOKUP($B38,'[1]Cost Analysis'!$C:$FO,136,FALSE)=0,"",VLOOKUP($B38,'[1]Cost Analysis'!$C:$FO,136,FALSE))</f>
        <v/>
      </c>
      <c r="CJ38" s="7" t="str">
        <f>IF(VLOOKUP($B38,'[1]Cost Analysis'!$C:$FO,137,FALSE)=0,"",VLOOKUP($B38,'[1]Cost Analysis'!$C:$FO,137,FALSE))</f>
        <v/>
      </c>
      <c r="CK38" s="7" t="str">
        <f>IF(VLOOKUP($B38,'[1]Cost Analysis'!$C:$FO,138,FALSE)=0,"",VLOOKUP($B38,'[1]Cost Analysis'!$C:$FO,138,FALSE))</f>
        <v/>
      </c>
      <c r="CL38" s="7">
        <f>IF(VLOOKUP($B38,'[1]Cost Analysis'!$C:$FO,139,FALSE)=0,"",VLOOKUP($B38,'[1]Cost Analysis'!$C:$FO,139,FALSE))</f>
        <v>48865609.288199998</v>
      </c>
    </row>
    <row r="39" spans="1:90" ht="30" x14ac:dyDescent="0.25">
      <c r="A39" s="13" t="s">
        <v>16</v>
      </c>
      <c r="B39" s="20" t="s">
        <v>20</v>
      </c>
      <c r="C39" s="19" t="str">
        <f>VLOOKUP($B39,'[1]Cost Analysis'!$C:$FO,7,FALSE)</f>
        <v>Milestone 2</v>
      </c>
      <c r="D39" s="19" t="str">
        <f>VLOOKUP($B39,'[1]Cost Analysis'!$C:$FO,8,FALSE)</f>
        <v>Early Design</v>
      </c>
      <c r="E39" s="18">
        <f>IF(ISERROR(VLOOKUP($B39,'[1]Cost Analysis'!$C:$FO,9,FALSE)),"",VLOOKUP($B39,'[1]Cost Analysis'!$C:$FO,9,FALSE))</f>
        <v>11329992</v>
      </c>
      <c r="F39" s="17">
        <f>IF(ISERROR(VLOOKUP($B39,'[1]Cost Analysis'!$C:$FO,10,FALSE)),"",VLOOKUP($B39,'[1]Cost Analysis'!$C:$FO,10,FALSE))</f>
        <v>323.66632972127877</v>
      </c>
      <c r="G39" s="9">
        <f>IF(ISERROR(VLOOKUP($B39,'[1]Cost Analysis'!$C:$FO,12,FALSE)),"",VLOOKUP($B39,'[1]Cost Analysis'!$C:$FO,12,FALSE))</f>
        <v>793099.44000000006</v>
      </c>
      <c r="H39" s="17">
        <f>IF(ISERROR(VLOOKUP($B39,'[1]Cost Analysis'!$C:$FO,13,FALSE)),"",VLOOKUP($B39,'[1]Cost Analysis'!$C:$FO,13,FALSE))</f>
        <v>16.916504932880478</v>
      </c>
      <c r="I39" s="16">
        <f>IF(ISERROR(VLOOKUP($B39,'[1]Cost Analysis'!$C:$FO,14,FALSE)),"",VLOOKUP($B39,'[1]Cost Analysis'!$C:$FO,14,FALSE))</f>
        <v>5.226526017534143E-2</v>
      </c>
      <c r="J39" s="18">
        <f>IF(ISERROR(VLOOKUP($B39,'[1]Cost Analysis'!$C:$FO,15,FALSE)),"",VLOOKUP($B39,'[1]Cost Analysis'!$C:$FO,15,FALSE))</f>
        <v>1556917</v>
      </c>
      <c r="K39" s="16">
        <f>IF(ISERROR(VLOOKUP($B39,'[1]Cost Analysis'!$C:$FO,16,FALSE)),"",VLOOKUP($B39,'[1]Cost Analysis'!$C:$FO,16,FALSE))</f>
        <v>0.13741554274707343</v>
      </c>
      <c r="L39" s="17">
        <f>IF(ISERROR(VLOOKUP($B39,'[1]Cost Analysis'!$C:$FO,17,FALSE)),"",VLOOKUP($B39,'[1]Cost Analysis'!$C:$FO,17,FALSE))</f>
        <v>-444594</v>
      </c>
      <c r="M39" s="17">
        <f>IF(ISERROR(VLOOKUP($B39,'[1]Cost Analysis'!$C:$FO,18,FALSE)),"",VLOOKUP($B39,'[1]Cost Analysis'!$C:$FO,18,FALSE))</f>
        <v>-4.3493082360712281</v>
      </c>
      <c r="N39" s="16">
        <f>IF(ISERROR(VLOOKUP($B39,'[1]Cost Analysis'!$C:$FO,19,FALSE)),"",VLOOKUP($B39,'[1]Cost Analysis'!$C:$FO,19,FALSE))</f>
        <v>-1.3437629548357966E-2</v>
      </c>
      <c r="O39" s="11">
        <f>IF(ISERROR(VLOOKUP($B39,'[1]Cost Analysis'!$C:$FO,36,FALSE)),"",VLOOKUP($B39,'[1]Cost Analysis'!$C:$FO,36,FALSE))</f>
        <v>1241968</v>
      </c>
      <c r="P39" s="13" t="str">
        <f>IF(ISERROR(VLOOKUP($B39,'[1]Cost Analysis'!$C:$FO,37,FALSE)),"",VLOOKUP($B39,'[1]Cost Analysis'!$C:$FO,37,FALSE))</f>
        <v xml:space="preserve">Solar PV onsite owned </v>
      </c>
      <c r="Q39" s="11">
        <f>VLOOKUP($B39,'[1]Cost Analysis'!$C:$FO,39,FALSE)</f>
        <v>74196</v>
      </c>
      <c r="R39" s="11">
        <f>VLOOKUP($B39,'[1]Cost Analysis'!$C:$FO,40,FALSE)</f>
        <v>74196</v>
      </c>
      <c r="S39" s="13">
        <f>VLOOKUP($B39,'[1]Cost Analysis'!$C:$FO,41,FALSE)</f>
        <v>1</v>
      </c>
      <c r="T39" s="13">
        <f>VLOOKUP($B39,'[1]Cost Analysis'!$C:$FO,42,FALSE)</f>
        <v>2</v>
      </c>
      <c r="U39" s="13">
        <f>VLOOKUP($B39,'[1]Cost Analysis'!$C:$FO,43,FALSE)</f>
        <v>76</v>
      </c>
      <c r="V39" s="13" t="str">
        <f>VLOOKUP($B39,'[1]Cost Analysis'!$C:$FO,44,FALSE)</f>
        <v>Phius</v>
      </c>
      <c r="W39" s="13" t="str">
        <f>VLOOKUP($B39,'[1]Cost Analysis'!$C:$FO,45,FALSE)</f>
        <v>Finger Lakes</v>
      </c>
      <c r="X39" s="15" t="str">
        <f>VLOOKUP($B39,'[1]Cost Analysis'!$C:$FO,46,FALSE)</f>
        <v>All Electric</v>
      </c>
      <c r="Y39" s="14" t="str">
        <f>VLOOKUP($B39,'[1]Cost Analysis'!$C:$FO,47,FALSE)</f>
        <v>LMI</v>
      </c>
      <c r="Z39" s="13" t="str">
        <f>VLOOKUP($B39,'[1]Cost Analysis'!$C:$FO,48,FALSE)</f>
        <v>Yes</v>
      </c>
      <c r="AA39" s="13" t="str">
        <f>VLOOKUP($B39,'[1]Cost Analysis'!$C:$FO,49,FALSE)</f>
        <v>Panelized</v>
      </c>
      <c r="AB39" s="13" t="str">
        <f>VLOOKUP($B39,'[1]Cost Analysis'!$C:$FO,50,FALSE)</f>
        <v>Minisplit - ASHP</v>
      </c>
      <c r="AC39" s="13" t="str">
        <f>VLOOKUP($B39,'[1]Cost Analysis'!$C:$FO,51,FALSE)</f>
        <v>ERV</v>
      </c>
      <c r="AD39" s="13" t="str">
        <f>VLOOKUP($B39,'[1]Cost Analysis'!$C:$FO,52,FALSE)</f>
        <v>ASHP</v>
      </c>
      <c r="AE39" s="13" t="str">
        <f>VLOOKUP($B39,'[1]Cost Analysis'!$C:$FO,53,FALSE)</f>
        <v>Yes</v>
      </c>
      <c r="AF39" s="13" t="str">
        <f>VLOOKUP($B39,'[1]Cost Analysis'!$C:$FO,54,FALSE)</f>
        <v>Low Rise</v>
      </c>
      <c r="AG39" s="13" t="str">
        <f>IF(VLOOKUP($B39,'[1]Cost Analysis'!$C:$FO,55,FALSE)="PV","Yes","No")</f>
        <v>Yes</v>
      </c>
      <c r="AH39" s="13" t="str">
        <f>VLOOKUP($B39,'[1]Cost Analysis'!$C:$FO,57,FALSE)</f>
        <v>Yes</v>
      </c>
      <c r="AI39" s="13" t="str">
        <f>VLOOKUP($B39,'[1]Cost Analysis'!$C:$FO,58,FALSE)</f>
        <v>No</v>
      </c>
      <c r="AJ39" s="13" t="str">
        <f>VLOOKUP($B39,'[1]Cost Analysis'!$C:$FO,59,FALSE)</f>
        <v>No</v>
      </c>
      <c r="AK39" s="13">
        <f>VLOOKUP($B39,'[1]Cost Analysis'!$C:$FO,60,FALSE)</f>
        <v>5</v>
      </c>
      <c r="AL39" s="13" t="str">
        <f>VLOOKUP($B39,'[1]Cost Analysis'!$C:$FO,61,FALSE)</f>
        <v>Yes</v>
      </c>
      <c r="AM39" s="13" t="str">
        <f>VLOOKUP($B39,'[1]Cost Analysis'!$C:$FO,62,FALSE)</f>
        <v>NC</v>
      </c>
      <c r="AN39" s="12" t="str">
        <f>VLOOKUP($B39,'[1]Cost Analysis'!$C:$FO,63,FALSE)</f>
        <v>2019 ECC NYS</v>
      </c>
      <c r="AO39" s="12" t="str">
        <f>VLOOKUP($B39,'[1]Cost Analysis'!$C:$FO,67,FALSE)</f>
        <v>No</v>
      </c>
      <c r="AP39" s="12" t="str">
        <f>VLOOKUP($B39,'[1]Cost Analysis'!$C:$FO,69,FALSE)</f>
        <v>No</v>
      </c>
      <c r="AQ39" s="11">
        <f>VLOOKUP($B39,'[1]Cost Analysis'!$C:$FO,74,FALSE)</f>
        <v>1241968</v>
      </c>
      <c r="AR39" s="11">
        <f>VLOOKUP($B39,'[1]Cost Analysis'!$C:$FO,75,FALSE)</f>
        <v>0</v>
      </c>
      <c r="AS39" s="10">
        <f>IF(ISERROR(VLOOKUP($B39,'[1]Cost Analysis'!$C:$FO,76,FALSE)),"",VLOOKUP($B39,'[1]Cost Analysis'!$C:$FO,76,FALSE))</f>
        <v>1</v>
      </c>
      <c r="AT39" s="9">
        <f>VLOOKUP($B39,'[1]Cost Analysis'!$C:$FO,78,FALSE)</f>
        <v>19755</v>
      </c>
      <c r="AU39" s="9">
        <f>VLOOKUP($B39,'[1]Cost Analysis'!$C:$FO,82,FALSE)</f>
        <v>0.26625424551188742</v>
      </c>
      <c r="AV39" s="8">
        <f>VLOOKUP($B39,'[1]Cost Analysis'!$C:$FO,83,FALSE)</f>
        <v>0</v>
      </c>
      <c r="AW39" s="7">
        <f>IF(VLOOKUP($B39,'[1]Cost Analysis'!$C:$FO,86,FALSE)=0,"",VLOOKUP($B39,'[1]Cost Analysis'!$C:$FO,86,FALSE))</f>
        <v>1068480</v>
      </c>
      <c r="AX39" s="7">
        <f>IF(VLOOKUP($B39,'[1]Cost Analysis'!$C:$FO,87,FALSE)=0,"",VLOOKUP($B39,'[1]Cost Analysis'!$C:$FO,87,FALSE))</f>
        <v>2359448</v>
      </c>
      <c r="AY39" s="7">
        <f>IF(VLOOKUP($B39,'[1]Cost Analysis'!$C:$FO,88,FALSE)=0,"",VLOOKUP($B39,'[1]Cost Analysis'!$C:$FO,88,FALSE))</f>
        <v>740740</v>
      </c>
      <c r="AZ39" s="7">
        <f>IF(VLOOKUP($B39,'[1]Cost Analysis'!$C:$FO,89,FALSE)=0,"",VLOOKUP($B39,'[1]Cost Analysis'!$C:$FO,89,FALSE))</f>
        <v>357200</v>
      </c>
      <c r="BA39" s="7">
        <f>IF(VLOOKUP($B39,'[1]Cost Analysis'!$C:$FO,90,FALSE)=0,"",VLOOKUP($B39,'[1]Cost Analysis'!$C:$FO,90,FALSE))</f>
        <v>679542</v>
      </c>
      <c r="BB39" s="7">
        <f>IF(VLOOKUP($B39,'[1]Cost Analysis'!$C:$FO,91,FALSE)=0,"",VLOOKUP($B39,'[1]Cost Analysis'!$C:$FO,91,FALSE))</f>
        <v>1711476</v>
      </c>
      <c r="BC39" s="7" t="str">
        <f>IF(VLOOKUP($B39,'[1]Cost Analysis'!$C:$FO,92,FALSE)=0,"",VLOOKUP($B39,'[1]Cost Analysis'!$C:$FO,92,FALSE))</f>
        <v/>
      </c>
      <c r="BD39" s="7">
        <f>IF(VLOOKUP($B39,'[1]Cost Analysis'!$C:$FO,93,FALSE)=0,"",VLOOKUP($B39,'[1]Cost Analysis'!$C:$FO,93,FALSE))</f>
        <v>580375</v>
      </c>
      <c r="BE39" s="7" t="str">
        <f>IF(VLOOKUP($B39,'[1]Cost Analysis'!$C:$FO,94,FALSE)=0,"",VLOOKUP($B39,'[1]Cost Analysis'!$C:$FO,94,FALSE))</f>
        <v/>
      </c>
      <c r="BF39" s="7">
        <f>IF(VLOOKUP($B39,'[1]Cost Analysis'!$C:$FO,95,FALSE)=0,"",VLOOKUP($B39,'[1]Cost Analysis'!$C:$FO,95,FALSE))</f>
        <v>16517486</v>
      </c>
      <c r="BG39" s="7">
        <f>IF(VLOOKUP($B39,'[1]Cost Analysis'!$C:$FO,96,FALSE)=0,"",VLOOKUP($B39,'[1]Cost Analysis'!$C:$FO,96,FALSE))</f>
        <v>24014747</v>
      </c>
      <c r="BH39" s="7">
        <f>IF(VLOOKUP($B39,'[1]Cost Analysis'!$C:$FO,97,FALSE)=0,"",VLOOKUP($B39,'[1]Cost Analysis'!$C:$FO,97,FALSE))</f>
        <v>-304000</v>
      </c>
      <c r="BI39" s="7">
        <f>IF(VLOOKUP($B39,'[1]Cost Analysis'!$C:$FO,98,FALSE)=0,"",VLOOKUP($B39,'[1]Cost Analysis'!$C:$FO,98,FALSE))</f>
        <v>-110103</v>
      </c>
      <c r="BJ39" s="7" t="str">
        <f>IF(VLOOKUP($B39,'[1]Cost Analysis'!$C:$FO,99,FALSE)=0,"",VLOOKUP($B39,'[1]Cost Analysis'!$C:$FO,99,FALSE))</f>
        <v/>
      </c>
      <c r="BK39" s="7" t="str">
        <f>IF(VLOOKUP($B39,'[1]Cost Analysis'!$C:$FO,100,FALSE)=0,"",VLOOKUP($B39,'[1]Cost Analysis'!$C:$FO,100,FALSE))</f>
        <v/>
      </c>
      <c r="BL39" s="7" t="str">
        <f>IF(VLOOKUP($B39,'[1]Cost Analysis'!$C:$FO,101,FALSE)=0,"",VLOOKUP($B39,'[1]Cost Analysis'!$C:$FO,101,FALSE))</f>
        <v/>
      </c>
      <c r="BM39" s="7" t="str">
        <f>IF(VLOOKUP($B39,'[1]Cost Analysis'!$C:$FO,102,FALSE)=0,"",VLOOKUP($B39,'[1]Cost Analysis'!$C:$FO,102,FALSE))</f>
        <v/>
      </c>
      <c r="BN39" s="7" t="str">
        <f>IF(VLOOKUP($B39,'[1]Cost Analysis'!$C:$FO,103,FALSE)=0,"",VLOOKUP($B39,'[1]Cost Analysis'!$C:$FO,103,FALSE))</f>
        <v/>
      </c>
      <c r="BO39" s="7">
        <f>IF(VLOOKUP($B39,'[1]Cost Analysis'!$C:$FO,104,FALSE)=0,"",VLOOKUP($B39,'[1]Cost Analysis'!$C:$FO,104,FALSE))</f>
        <v>-414103</v>
      </c>
      <c r="BP39" s="7">
        <f>IF(VLOOKUP($B39,'[1]Cost Analysis'!$C:$FO,105,FALSE)=0,"",VLOOKUP($B39,'[1]Cost Analysis'!$C:$FO,105,FALSE))</f>
        <v>-1000000</v>
      </c>
      <c r="BQ39" s="7" t="str">
        <f>IF(VLOOKUP($B39,'[1]Cost Analysis'!$C:$FO,106,FALSE)=0,"",VLOOKUP($B39,'[1]Cost Analysis'!$C:$FO,106,FALSE))</f>
        <v/>
      </c>
      <c r="BR39" s="7">
        <f>IF(VLOOKUP($B39,'[1]Cost Analysis'!$C:$FO,107,FALSE)=0,"",VLOOKUP($B39,'[1]Cost Analysis'!$C:$FO,107,FALSE))</f>
        <v>-142814</v>
      </c>
      <c r="BS39" s="7" t="str">
        <f>IF(VLOOKUP($B39,'[1]Cost Analysis'!$C:$FO,108,FALSE)=0,"",VLOOKUP($B39,'[1]Cost Analysis'!$C:$FO,108,FALSE))</f>
        <v/>
      </c>
      <c r="BT39" s="7" t="str">
        <f>IF(VLOOKUP($B39,'[1]Cost Analysis'!$C:$FO,109,FALSE)=0,"",VLOOKUP($B39,'[1]Cost Analysis'!$C:$FO,109,FALSE))</f>
        <v/>
      </c>
      <c r="BU39" s="7" t="str">
        <f>IF(VLOOKUP($B39,'[1]Cost Analysis'!$C:$FO,110,FALSE)=0,"",VLOOKUP($B39,'[1]Cost Analysis'!$C:$FO,110,FALSE))</f>
        <v/>
      </c>
      <c r="BV39" s="7">
        <f>IF(VLOOKUP($B39,'[1]Cost Analysis'!$C:$FO,111,FALSE)=0,"",VLOOKUP($B39,'[1]Cost Analysis'!$C:$FO,111,FALSE))</f>
        <v>-142814</v>
      </c>
      <c r="BW39" s="7">
        <f>IF(VLOOKUP($B39,'[1]Cost Analysis'!$C:$FO,112,FALSE)=0,"",VLOOKUP($B39,'[1]Cost Analysis'!$C:$FO,112,FALSE))</f>
        <v>22457830</v>
      </c>
      <c r="BX39" s="7">
        <f>IF(VLOOKUP($B39,'[1]Cost Analysis'!$C:$FO,125,FALSE)=0,"",VLOOKUP($B39,'[1]Cost Analysis'!$C:$FO,125,FALSE))</f>
        <v>1068480</v>
      </c>
      <c r="BY39" s="7">
        <f>IF(VLOOKUP($B39,'[1]Cost Analysis'!$C:$FO,126,FALSE)=0,"",VLOOKUP($B39,'[1]Cost Analysis'!$C:$FO,126,FALSE))</f>
        <v>1696262</v>
      </c>
      <c r="BZ39" s="7">
        <f>IF(VLOOKUP($B39,'[1]Cost Analysis'!$C:$FO,127,FALSE)=0,"",VLOOKUP($B39,'[1]Cost Analysis'!$C:$FO,127,FALSE))</f>
        <v>972064</v>
      </c>
      <c r="CA39" s="7">
        <f>IF(VLOOKUP($B39,'[1]Cost Analysis'!$C:$FO,128,FALSE)=0,"",VLOOKUP($B39,'[1]Cost Analysis'!$C:$FO,128,FALSE))</f>
        <v>306908</v>
      </c>
      <c r="CB39" s="7">
        <f>IF(VLOOKUP($B39,'[1]Cost Analysis'!$C:$FO,129,FALSE)=0,"",VLOOKUP($B39,'[1]Cost Analysis'!$C:$FO,129,FALSE))</f>
        <v>596640</v>
      </c>
      <c r="CC39" s="7">
        <f>IF(VLOOKUP($B39,'[1]Cost Analysis'!$C:$FO,130,FALSE)=0,"",VLOOKUP($B39,'[1]Cost Analysis'!$C:$FO,130,FALSE))</f>
        <v>1232385</v>
      </c>
      <c r="CD39" s="7">
        <f>IF(VLOOKUP($B39,'[1]Cost Analysis'!$C:$FO,131,FALSE)=0,"",VLOOKUP($B39,'[1]Cost Analysis'!$C:$FO,131,FALSE))</f>
        <v>2493324</v>
      </c>
      <c r="CE39" s="7">
        <f>IF(VLOOKUP($B39,'[1]Cost Analysis'!$C:$FO,132,FALSE)=0,"",VLOOKUP($B39,'[1]Cost Analysis'!$C:$FO,132,FALSE))</f>
        <v>580375</v>
      </c>
      <c r="CF39" s="7">
        <f>IF(VLOOKUP($B39,'[1]Cost Analysis'!$C:$FO,133,FALSE)=0,"",VLOOKUP($B39,'[1]Cost Analysis'!$C:$FO,133,FALSE))</f>
        <v>6430634</v>
      </c>
      <c r="CG39" s="7">
        <f>IF(VLOOKUP($B39,'[1]Cost Analysis'!$C:$FO,134,FALSE)=0,"",VLOOKUP($B39,'[1]Cost Analysis'!$C:$FO,134,FALSE))</f>
        <v>7525352</v>
      </c>
      <c r="CH39" s="7">
        <f>IF(VLOOKUP($B39,'[1]Cost Analysis'!$C:$FO,135,FALSE)=0,"",VLOOKUP($B39,'[1]Cost Analysis'!$C:$FO,135,FALSE))</f>
        <v>22902424</v>
      </c>
      <c r="CI39" s="7" t="str">
        <f>IF(VLOOKUP($B39,'[1]Cost Analysis'!$C:$FO,136,FALSE)=0,"",VLOOKUP($B39,'[1]Cost Analysis'!$C:$FO,136,FALSE))</f>
        <v/>
      </c>
      <c r="CJ39" s="7" t="str">
        <f>IF(VLOOKUP($B39,'[1]Cost Analysis'!$C:$FO,137,FALSE)=0,"",VLOOKUP($B39,'[1]Cost Analysis'!$C:$FO,137,FALSE))</f>
        <v/>
      </c>
      <c r="CK39" s="7">
        <f>IF(VLOOKUP($B39,'[1]Cost Analysis'!$C:$FO,138,FALSE)=0,"",VLOOKUP($B39,'[1]Cost Analysis'!$C:$FO,138,FALSE))</f>
        <v>-142814</v>
      </c>
      <c r="CL39" s="7">
        <f>IF(VLOOKUP($B39,'[1]Cost Analysis'!$C:$FO,139,FALSE)=0,"",VLOOKUP($B39,'[1]Cost Analysis'!$C:$FO,139,FALSE))</f>
        <v>22759610</v>
      </c>
    </row>
    <row r="40" spans="1:90" ht="30" x14ac:dyDescent="0.25">
      <c r="A40" s="13" t="s">
        <v>16</v>
      </c>
      <c r="B40" s="20" t="s">
        <v>19</v>
      </c>
      <c r="C40" s="19" t="str">
        <f>VLOOKUP($B40,'[1]Cost Analysis'!$C:$FO,7,FALSE)</f>
        <v>Milestone 1</v>
      </c>
      <c r="D40" s="19" t="str">
        <f>VLOOKUP($B40,'[1]Cost Analysis'!$C:$FO,8,FALSE)</f>
        <v>Early Design</v>
      </c>
      <c r="E40" s="18">
        <f>IF(ISERROR(VLOOKUP($B40,'[1]Cost Analysis'!$C:$FO,9,FALSE)),"",VLOOKUP($B40,'[1]Cost Analysis'!$C:$FO,9,FALSE))</f>
        <v>56862863.5</v>
      </c>
      <c r="F40" s="17">
        <f>IF(ISERROR(VLOOKUP($B40,'[1]Cost Analysis'!$C:$FO,10,FALSE)),"",VLOOKUP($B40,'[1]Cost Analysis'!$C:$FO,10,FALSE))</f>
        <v>662.79913628310328</v>
      </c>
      <c r="G40" s="9">
        <f>IF(ISERROR(VLOOKUP($B40,'[1]Cost Analysis'!$C:$FO,12,FALSE)),"",VLOOKUP($B40,'[1]Cost Analysis'!$C:$FO,12,FALSE))</f>
        <v>23858879.5</v>
      </c>
      <c r="H40" s="17">
        <f>IF(ISERROR(VLOOKUP($B40,'[1]Cost Analysis'!$C:$FO,13,FALSE)),"",VLOOKUP($B40,'[1]Cost Analysis'!$C:$FO,13,FALSE))</f>
        <v>279.52815530585605</v>
      </c>
      <c r="I40" s="16">
        <f>IF(ISERROR(VLOOKUP($B40,'[1]Cost Analysis'!$C:$FO,14,FALSE)),"",VLOOKUP($B40,'[1]Cost Analysis'!$C:$FO,14,FALSE))</f>
        <v>0.42173886476891898</v>
      </c>
      <c r="J40" s="18">
        <f>IF(ISERROR(VLOOKUP($B40,'[1]Cost Analysis'!$C:$FO,15,FALSE)),"",VLOOKUP($B40,'[1]Cost Analysis'!$C:$FO,15,FALSE))</f>
        <v>1730595</v>
      </c>
      <c r="K40" s="16">
        <f>IF(ISERROR(VLOOKUP($B40,'[1]Cost Analysis'!$C:$FO,16,FALSE)),"",VLOOKUP($B40,'[1]Cost Analysis'!$C:$FO,16,FALSE))</f>
        <v>3.0434538352082815E-2</v>
      </c>
      <c r="L40" s="17">
        <f>IF(ISERROR(VLOOKUP($B40,'[1]Cost Analysis'!$C:$FO,17,FALSE)),"",VLOOKUP($B40,'[1]Cost Analysis'!$C:$FO,17,FALSE))</f>
        <v>22128284.5</v>
      </c>
      <c r="M40" s="17">
        <f>IF(ISERROR(VLOOKUP($B40,'[1]Cost Analysis'!$C:$FO,18,FALSE)),"",VLOOKUP($B40,'[1]Cost Analysis'!$C:$FO,18,FALSE))</f>
        <v>267.49732723781966</v>
      </c>
      <c r="N40" s="16">
        <f>IF(ISERROR(VLOOKUP($B40,'[1]Cost Analysis'!$C:$FO,19,FALSE)),"",VLOOKUP($B40,'[1]Cost Analysis'!$C:$FO,19,FALSE))</f>
        <v>0.40358732019162247</v>
      </c>
      <c r="O40" s="11">
        <f>IF(ISERROR(VLOOKUP($B40,'[1]Cost Analysis'!$C:$FO,36,FALSE)),"",VLOOKUP($B40,'[1]Cost Analysis'!$C:$FO,36,FALSE))</f>
        <v>392380</v>
      </c>
      <c r="P40" s="13" t="str">
        <f>IF(ISERROR(VLOOKUP($B40,'[1]Cost Analysis'!$C:$FO,37,FALSE)),"",VLOOKUP($B40,'[1]Cost Analysis'!$C:$FO,37,FALSE))</f>
        <v xml:space="preserve">Solar PV onsite owned </v>
      </c>
      <c r="Q40" s="11">
        <f>VLOOKUP($B40,'[1]Cost Analysis'!$C:$FO,39,FALSE)</f>
        <v>85792</v>
      </c>
      <c r="R40" s="11">
        <f>VLOOKUP($B40,'[1]Cost Analysis'!$C:$FO,40,FALSE)</f>
        <v>85792</v>
      </c>
      <c r="S40" s="13">
        <f>VLOOKUP($B40,'[1]Cost Analysis'!$C:$FO,41,FALSE)</f>
        <v>2</v>
      </c>
      <c r="T40" s="13">
        <f>VLOOKUP($B40,'[1]Cost Analysis'!$C:$FO,42,FALSE)</f>
        <v>7</v>
      </c>
      <c r="U40" s="13">
        <f>VLOOKUP($B40,'[1]Cost Analysis'!$C:$FO,43,FALSE)</f>
        <v>82</v>
      </c>
      <c r="V40" s="13" t="str">
        <f>VLOOKUP($B40,'[1]Cost Analysis'!$C:$FO,44,FALSE)</f>
        <v>Phius</v>
      </c>
      <c r="W40" s="13" t="str">
        <f>VLOOKUP($B40,'[1]Cost Analysis'!$C:$FO,45,FALSE)</f>
        <v>NYC</v>
      </c>
      <c r="X40" s="15" t="str">
        <f>VLOOKUP($B40,'[1]Cost Analysis'!$C:$FO,46,FALSE)</f>
        <v>All Electric</v>
      </c>
      <c r="Y40" s="14" t="str">
        <f>VLOOKUP($B40,'[1]Cost Analysis'!$C:$FO,47,FALSE)</f>
        <v>LMI</v>
      </c>
      <c r="Z40" s="13" t="str">
        <f>VLOOKUP($B40,'[1]Cost Analysis'!$C:$FO,48,FALSE)</f>
        <v>Yes</v>
      </c>
      <c r="AA40" s="13" t="str">
        <f>VLOOKUP($B40,'[1]Cost Analysis'!$C:$FO,49,FALSE)</f>
        <v>Block and Plank</v>
      </c>
      <c r="AB40" s="13" t="str">
        <f>VLOOKUP($B40,'[1]Cost Analysis'!$C:$FO,50,FALSE)</f>
        <v>VRF - ASHP</v>
      </c>
      <c r="AC40" s="13" t="str">
        <f>VLOOKUP($B40,'[1]Cost Analysis'!$C:$FO,51,FALSE)</f>
        <v>ERV</v>
      </c>
      <c r="AD40" s="13" t="str">
        <f>VLOOKUP($B40,'[1]Cost Analysis'!$C:$FO,52,FALSE)</f>
        <v>ASHP</v>
      </c>
      <c r="AE40" s="13" t="str">
        <f>VLOOKUP($B40,'[1]Cost Analysis'!$C:$FO,53,FALSE)</f>
        <v>Yes</v>
      </c>
      <c r="AF40" s="13" t="str">
        <f>VLOOKUP($B40,'[1]Cost Analysis'!$C:$FO,54,FALSE)</f>
        <v>Mid Rise</v>
      </c>
      <c r="AG40" s="13" t="str">
        <f>IF(VLOOKUP($B40,'[1]Cost Analysis'!$C:$FO,55,FALSE)="PV","Yes","No")</f>
        <v>Yes</v>
      </c>
      <c r="AH40" s="13" t="str">
        <f>VLOOKUP($B40,'[1]Cost Analysis'!$C:$FO,57,FALSE)</f>
        <v>No</v>
      </c>
      <c r="AI40" s="13" t="str">
        <f>VLOOKUP($B40,'[1]Cost Analysis'!$C:$FO,58,FALSE)</f>
        <v>No</v>
      </c>
      <c r="AJ40" s="13" t="str">
        <f>VLOOKUP($B40,'[1]Cost Analysis'!$C:$FO,59,FALSE)</f>
        <v>No</v>
      </c>
      <c r="AK40" s="13">
        <f>VLOOKUP($B40,'[1]Cost Analysis'!$C:$FO,60,FALSE)</f>
        <v>4</v>
      </c>
      <c r="AL40" s="13" t="str">
        <f>VLOOKUP($B40,'[1]Cost Analysis'!$C:$FO,61,FALSE)</f>
        <v>No</v>
      </c>
      <c r="AM40" s="13" t="str">
        <f>VLOOKUP($B40,'[1]Cost Analysis'!$C:$FO,62,FALSE)</f>
        <v>NC</v>
      </c>
      <c r="AN40" s="12" t="str">
        <f>VLOOKUP($B40,'[1]Cost Analysis'!$C:$FO,63,FALSE)</f>
        <v>2019 ECC NYS</v>
      </c>
      <c r="AO40" s="12" t="str">
        <f>VLOOKUP($B40,'[1]Cost Analysis'!$C:$FO,67,FALSE)</f>
        <v>Yes</v>
      </c>
      <c r="AP40" s="12" t="str">
        <f>VLOOKUP($B40,'[1]Cost Analysis'!$C:$FO,69,FALSE)</f>
        <v>No</v>
      </c>
      <c r="AQ40" s="11">
        <f>VLOOKUP($B40,'[1]Cost Analysis'!$C:$FO,74,FALSE)</f>
        <v>1630525</v>
      </c>
      <c r="AR40" s="11">
        <f>VLOOKUP($B40,'[1]Cost Analysis'!$C:$FO,75,FALSE)</f>
        <v>1238145</v>
      </c>
      <c r="AS40" s="10">
        <f>IF(ISERROR(VLOOKUP($B40,'[1]Cost Analysis'!$C:$FO,76,FALSE)),"",VLOOKUP($B40,'[1]Cost Analysis'!$C:$FO,76,FALSE))</f>
        <v>0.24064641756489474</v>
      </c>
      <c r="AT40" s="9">
        <f>VLOOKUP($B40,'[1]Cost Analysis'!$C:$FO,78,FALSE)</f>
        <v>72575.91</v>
      </c>
      <c r="AU40" s="9">
        <f>VLOOKUP($B40,'[1]Cost Analysis'!$C:$FO,82,FALSE)</f>
        <v>0.83796224454450996</v>
      </c>
      <c r="AV40" s="8">
        <f>VLOOKUP($B40,'[1]Cost Analysis'!$C:$FO,83,FALSE)</f>
        <v>14.295635607897472</v>
      </c>
      <c r="AW40" s="7">
        <f>IF(VLOOKUP($B40,'[1]Cost Analysis'!$C:$FO,86,FALSE)=0,"",VLOOKUP($B40,'[1]Cost Analysis'!$C:$FO,86,FALSE))</f>
        <v>2925000</v>
      </c>
      <c r="AX40" s="7">
        <f>IF(VLOOKUP($B40,'[1]Cost Analysis'!$C:$FO,87,FALSE)=0,"",VLOOKUP($B40,'[1]Cost Analysis'!$C:$FO,87,FALSE))</f>
        <v>7230000</v>
      </c>
      <c r="AY40" s="7">
        <f>IF(VLOOKUP($B40,'[1]Cost Analysis'!$C:$FO,88,FALSE)=0,"",VLOOKUP($B40,'[1]Cost Analysis'!$C:$FO,88,FALSE))</f>
        <v>1050000</v>
      </c>
      <c r="AZ40" s="7">
        <f>IF(VLOOKUP($B40,'[1]Cost Analysis'!$C:$FO,89,FALSE)=0,"",VLOOKUP($B40,'[1]Cost Analysis'!$C:$FO,89,FALSE))</f>
        <v>151700</v>
      </c>
      <c r="BA40" s="7">
        <f>IF(VLOOKUP($B40,'[1]Cost Analysis'!$C:$FO,90,FALSE)=0,"",VLOOKUP($B40,'[1]Cost Analysis'!$C:$FO,90,FALSE))</f>
        <v>374500</v>
      </c>
      <c r="BB40" s="7">
        <f>IF(VLOOKUP($B40,'[1]Cost Analysis'!$C:$FO,91,FALSE)=0,"",VLOOKUP($B40,'[1]Cost Analysis'!$C:$FO,91,FALSE))</f>
        <v>340000</v>
      </c>
      <c r="BC40" s="7" t="str">
        <f>IF(VLOOKUP($B40,'[1]Cost Analysis'!$C:$FO,92,FALSE)=0,"",VLOOKUP($B40,'[1]Cost Analysis'!$C:$FO,92,FALSE))</f>
        <v/>
      </c>
      <c r="BD40" s="7" t="str">
        <f>IF(VLOOKUP($B40,'[1]Cost Analysis'!$C:$FO,93,FALSE)=0,"",VLOOKUP($B40,'[1]Cost Analysis'!$C:$FO,93,FALSE))</f>
        <v/>
      </c>
      <c r="BE40" s="7">
        <f>IF(VLOOKUP($B40,'[1]Cost Analysis'!$C:$FO,94,FALSE)=0,"",VLOOKUP($B40,'[1]Cost Analysis'!$C:$FO,94,FALSE))</f>
        <v>2283800</v>
      </c>
      <c r="BF40" s="7">
        <f>IF(VLOOKUP($B40,'[1]Cost Analysis'!$C:$FO,95,FALSE)=0,"",VLOOKUP($B40,'[1]Cost Analysis'!$C:$FO,95,FALSE))</f>
        <v>42507863.5</v>
      </c>
      <c r="BG40" s="7">
        <f>IF(VLOOKUP($B40,'[1]Cost Analysis'!$C:$FO,96,FALSE)=0,"",VLOOKUP($B40,'[1]Cost Analysis'!$C:$FO,96,FALSE))</f>
        <v>56862863.5</v>
      </c>
      <c r="BH40" s="7">
        <f>IF(VLOOKUP($B40,'[1]Cost Analysis'!$C:$FO,97,FALSE)=0,"",VLOOKUP($B40,'[1]Cost Analysis'!$C:$FO,97,FALSE))</f>
        <v>-328000</v>
      </c>
      <c r="BI40" s="7" t="str">
        <f>IF(VLOOKUP($B40,'[1]Cost Analysis'!$C:$FO,98,FALSE)=0,"",VLOOKUP($B40,'[1]Cost Analysis'!$C:$FO,98,FALSE))</f>
        <v/>
      </c>
      <c r="BJ40" s="7" t="str">
        <f>IF(VLOOKUP($B40,'[1]Cost Analysis'!$C:$FO,99,FALSE)=0,"",VLOOKUP($B40,'[1]Cost Analysis'!$C:$FO,99,FALSE))</f>
        <v/>
      </c>
      <c r="BK40" s="7">
        <f>IF(VLOOKUP($B40,'[1]Cost Analysis'!$C:$FO,100,FALSE)=0,"",VLOOKUP($B40,'[1]Cost Analysis'!$C:$FO,100,FALSE))</f>
        <v>-291232</v>
      </c>
      <c r="BL40" s="7" t="str">
        <f>IF(VLOOKUP($B40,'[1]Cost Analysis'!$C:$FO,101,FALSE)=0,"",VLOOKUP($B40,'[1]Cost Analysis'!$C:$FO,101,FALSE))</f>
        <v/>
      </c>
      <c r="BM40" s="7" t="str">
        <f>IF(VLOOKUP($B40,'[1]Cost Analysis'!$C:$FO,102,FALSE)=0,"",VLOOKUP($B40,'[1]Cost Analysis'!$C:$FO,102,FALSE))</f>
        <v/>
      </c>
      <c r="BN40" s="7" t="str">
        <f>IF(VLOOKUP($B40,'[1]Cost Analysis'!$C:$FO,103,FALSE)=0,"",VLOOKUP($B40,'[1]Cost Analysis'!$C:$FO,103,FALSE))</f>
        <v/>
      </c>
      <c r="BO40" s="7">
        <f>IF(VLOOKUP($B40,'[1]Cost Analysis'!$C:$FO,104,FALSE)=0,"",VLOOKUP($B40,'[1]Cost Analysis'!$C:$FO,104,FALSE))</f>
        <v>-619232</v>
      </c>
      <c r="BP40" s="7">
        <f>IF(VLOOKUP($B40,'[1]Cost Analysis'!$C:$FO,105,FALSE)=0,"",VLOOKUP($B40,'[1]Cost Analysis'!$C:$FO,105,FALSE))</f>
        <v>-1000000</v>
      </c>
      <c r="BQ40" s="7" t="str">
        <f>IF(VLOOKUP($B40,'[1]Cost Analysis'!$C:$FO,106,FALSE)=0,"",VLOOKUP($B40,'[1]Cost Analysis'!$C:$FO,106,FALSE))</f>
        <v/>
      </c>
      <c r="BR40" s="7">
        <f>IF(VLOOKUP($B40,'[1]Cost Analysis'!$C:$FO,107,FALSE)=0,"",VLOOKUP($B40,'[1]Cost Analysis'!$C:$FO,107,FALSE))</f>
        <v>-111363</v>
      </c>
      <c r="BS40" s="7" t="str">
        <f>IF(VLOOKUP($B40,'[1]Cost Analysis'!$C:$FO,108,FALSE)=0,"",VLOOKUP($B40,'[1]Cost Analysis'!$C:$FO,108,FALSE))</f>
        <v/>
      </c>
      <c r="BT40" s="7" t="str">
        <f>IF(VLOOKUP($B40,'[1]Cost Analysis'!$C:$FO,109,FALSE)=0,"",VLOOKUP($B40,'[1]Cost Analysis'!$C:$FO,109,FALSE))</f>
        <v/>
      </c>
      <c r="BU40" s="7" t="str">
        <f>IF(VLOOKUP($B40,'[1]Cost Analysis'!$C:$FO,110,FALSE)=0,"",VLOOKUP($B40,'[1]Cost Analysis'!$C:$FO,110,FALSE))</f>
        <v/>
      </c>
      <c r="BV40" s="7">
        <f>IF(VLOOKUP($B40,'[1]Cost Analysis'!$C:$FO,111,FALSE)=0,"",VLOOKUP($B40,'[1]Cost Analysis'!$C:$FO,111,FALSE))</f>
        <v>-111363</v>
      </c>
      <c r="BW40" s="7">
        <f>IF(VLOOKUP($B40,'[1]Cost Analysis'!$C:$FO,112,FALSE)=0,"",VLOOKUP($B40,'[1]Cost Analysis'!$C:$FO,112,FALSE))</f>
        <v>55132268.5</v>
      </c>
      <c r="BX40" s="7">
        <f>IF(VLOOKUP($B40,'[1]Cost Analysis'!$C:$FO,125,FALSE)=0,"",VLOOKUP($B40,'[1]Cost Analysis'!$C:$FO,125,FALSE))</f>
        <v>1663756</v>
      </c>
      <c r="BY40" s="7">
        <f>IF(VLOOKUP($B40,'[1]Cost Analysis'!$C:$FO,126,FALSE)=0,"",VLOOKUP($B40,'[1]Cost Analysis'!$C:$FO,126,FALSE))</f>
        <v>6948364</v>
      </c>
      <c r="BZ40" s="7">
        <f>IF(VLOOKUP($B40,'[1]Cost Analysis'!$C:$FO,127,FALSE)=0,"",VLOOKUP($B40,'[1]Cost Analysis'!$C:$FO,127,FALSE))</f>
        <v>1153500</v>
      </c>
      <c r="CA40" s="7">
        <f>IF(VLOOKUP($B40,'[1]Cost Analysis'!$C:$FO,128,FALSE)=0,"",VLOOKUP($B40,'[1]Cost Analysis'!$C:$FO,128,FALSE))</f>
        <v>208000</v>
      </c>
      <c r="CB40" s="7" t="str">
        <f>IF(VLOOKUP($B40,'[1]Cost Analysis'!$C:$FO,129,FALSE)=0,"",VLOOKUP($B40,'[1]Cost Analysis'!$C:$FO,129,FALSE))</f>
        <v/>
      </c>
      <c r="CC40" s="7">
        <f>IF(VLOOKUP($B40,'[1]Cost Analysis'!$C:$FO,130,FALSE)=0,"",VLOOKUP($B40,'[1]Cost Analysis'!$C:$FO,130,FALSE))</f>
        <v>687000</v>
      </c>
      <c r="CD40" s="7" t="str">
        <f>IF(VLOOKUP($B40,'[1]Cost Analysis'!$C:$FO,131,FALSE)=0,"",VLOOKUP($B40,'[1]Cost Analysis'!$C:$FO,131,FALSE))</f>
        <v/>
      </c>
      <c r="CE40" s="7" t="str">
        <f>IF(VLOOKUP($B40,'[1]Cost Analysis'!$C:$FO,132,FALSE)=0,"",VLOOKUP($B40,'[1]Cost Analysis'!$C:$FO,132,FALSE))</f>
        <v/>
      </c>
      <c r="CF40" s="7">
        <f>IF(VLOOKUP($B40,'[1]Cost Analysis'!$C:$FO,133,FALSE)=0,"",VLOOKUP($B40,'[1]Cost Analysis'!$C:$FO,133,FALSE))</f>
        <v>442000</v>
      </c>
      <c r="CG40" s="7">
        <f>IF(VLOOKUP($B40,'[1]Cost Analysis'!$C:$FO,134,FALSE)=0,"",VLOOKUP($B40,'[1]Cost Analysis'!$C:$FO,134,FALSE))</f>
        <v>21901364</v>
      </c>
      <c r="CH40" s="7">
        <f>IF(VLOOKUP($B40,'[1]Cost Analysis'!$C:$FO,135,FALSE)=0,"",VLOOKUP($B40,'[1]Cost Analysis'!$C:$FO,135,FALSE))</f>
        <v>33003984</v>
      </c>
      <c r="CI40" s="7">
        <f>IF(VLOOKUP($B40,'[1]Cost Analysis'!$C:$FO,136,FALSE)=0,"",VLOOKUP($B40,'[1]Cost Analysis'!$C:$FO,136,FALSE))</f>
        <v>-122400</v>
      </c>
      <c r="CJ40" s="7" t="str">
        <f>IF(VLOOKUP($B40,'[1]Cost Analysis'!$C:$FO,137,FALSE)=0,"",VLOOKUP($B40,'[1]Cost Analysis'!$C:$FO,137,FALSE))</f>
        <v/>
      </c>
      <c r="CK40" s="7" t="str">
        <f>IF(VLOOKUP($B40,'[1]Cost Analysis'!$C:$FO,138,FALSE)=0,"",VLOOKUP($B40,'[1]Cost Analysis'!$C:$FO,138,FALSE))</f>
        <v/>
      </c>
      <c r="CL40" s="7">
        <f>IF(VLOOKUP($B40,'[1]Cost Analysis'!$C:$FO,139,FALSE)=0,"",VLOOKUP($B40,'[1]Cost Analysis'!$C:$FO,139,FALSE))</f>
        <v>32881584</v>
      </c>
    </row>
    <row r="41" spans="1:90" ht="30" x14ac:dyDescent="0.25">
      <c r="A41" s="13" t="s">
        <v>16</v>
      </c>
      <c r="B41" s="20" t="s">
        <v>18</v>
      </c>
      <c r="C41" s="19" t="str">
        <f>VLOOKUP($B41,'[1]Cost Analysis'!$C:$FO,7,FALSE)</f>
        <v>Proposal</v>
      </c>
      <c r="D41" s="19" t="str">
        <f>VLOOKUP($B41,'[1]Cost Analysis'!$C:$FO,8,FALSE)</f>
        <v>Early Design</v>
      </c>
      <c r="E41" s="18">
        <f>IF(ISERROR(VLOOKUP($B41,'[1]Cost Analysis'!$C:$FO,9,FALSE)),"",VLOOKUP($B41,'[1]Cost Analysis'!$C:$FO,9,FALSE))</f>
        <v>64027236</v>
      </c>
      <c r="F41" s="17">
        <f>IF(ISERROR(VLOOKUP($B41,'[1]Cost Analysis'!$C:$FO,10,FALSE)),"",VLOOKUP($B41,'[1]Cost Analysis'!$C:$FO,10,FALSE))</f>
        <v>412.51472824266165</v>
      </c>
      <c r="G41" s="9">
        <f>IF(ISERROR(VLOOKUP($B41,'[1]Cost Analysis'!$C:$FO,12,FALSE)),"",VLOOKUP($B41,'[1]Cost Analysis'!$C:$FO,12,FALSE))</f>
        <v>5762451.2400000002</v>
      </c>
      <c r="H41" s="17">
        <f>IF(ISERROR(VLOOKUP($B41,'[1]Cost Analysis'!$C:$FO,13,FALSE)),"",VLOOKUP($B41,'[1]Cost Analysis'!$C:$FO,13,FALSE))</f>
        <v>37.126325541839549</v>
      </c>
      <c r="I41" s="16">
        <f>IF(ISERROR(VLOOKUP($B41,'[1]Cost Analysis'!$C:$FO,14,FALSE)),"",VLOOKUP($B41,'[1]Cost Analysis'!$C:$FO,14,FALSE))</f>
        <v>0.09</v>
      </c>
      <c r="J41" s="18">
        <f>IF(ISERROR(VLOOKUP($B41,'[1]Cost Analysis'!$C:$FO,15,FALSE)),"",VLOOKUP($B41,'[1]Cost Analysis'!$C:$FO,15,FALSE))</f>
        <v>1315700</v>
      </c>
      <c r="K41" s="16">
        <f>IF(ISERROR(VLOOKUP($B41,'[1]Cost Analysis'!$C:$FO,16,FALSE)),"",VLOOKUP($B41,'[1]Cost Analysis'!$C:$FO,16,FALSE))</f>
        <v>2.0549067587424828E-2</v>
      </c>
      <c r="L41" s="17">
        <f>IF(ISERROR(VLOOKUP($B41,'[1]Cost Analysis'!$C:$FO,17,FALSE)),"",VLOOKUP($B41,'[1]Cost Analysis'!$C:$FO,17,FALSE))</f>
        <v>4446751.24</v>
      </c>
      <c r="M41" s="17">
        <f>IF(ISERROR(VLOOKUP($B41,'[1]Cost Analysis'!$C:$FO,18,FALSE)),"",VLOOKUP($B41,'[1]Cost Analysis'!$C:$FO,18,FALSE))</f>
        <v>28.649532510372911</v>
      </c>
      <c r="N41" s="16">
        <f>IF(ISERROR(VLOOKUP($B41,'[1]Cost Analysis'!$C:$FO,19,FALSE)),"",VLOOKUP($B41,'[1]Cost Analysis'!$C:$FO,19,FALSE))</f>
        <v>6.9450932412575175E-2</v>
      </c>
      <c r="O41" s="11">
        <f>IF(ISERROR(VLOOKUP($B41,'[1]Cost Analysis'!$C:$FO,36,FALSE)),"",VLOOKUP($B41,'[1]Cost Analysis'!$C:$FO,36,FALSE))</f>
        <v>269548</v>
      </c>
      <c r="P41" s="13" t="str">
        <f>IF(ISERROR(VLOOKUP($B41,'[1]Cost Analysis'!$C:$FO,37,FALSE)),"",VLOOKUP($B41,'[1]Cost Analysis'!$C:$FO,37,FALSE))</f>
        <v xml:space="preserve">Solar PV onsite owned </v>
      </c>
      <c r="Q41" s="11">
        <f>VLOOKUP($B41,'[1]Cost Analysis'!$C:$FO,39,FALSE)</f>
        <v>155212</v>
      </c>
      <c r="R41" s="11">
        <f>VLOOKUP($B41,'[1]Cost Analysis'!$C:$FO,40,FALSE)</f>
        <v>143712</v>
      </c>
      <c r="S41" s="13">
        <f>VLOOKUP($B41,'[1]Cost Analysis'!$C:$FO,41,FALSE)</f>
        <v>1</v>
      </c>
      <c r="T41" s="13">
        <f>VLOOKUP($B41,'[1]Cost Analysis'!$C:$FO,42,FALSE)</f>
        <v>8</v>
      </c>
      <c r="U41" s="13">
        <f>VLOOKUP($B41,'[1]Cost Analysis'!$C:$FO,43,FALSE)</f>
        <v>156</v>
      </c>
      <c r="V41" s="13" t="str">
        <f>VLOOKUP($B41,'[1]Cost Analysis'!$C:$FO,44,FALSE)</f>
        <v>ASHRAE</v>
      </c>
      <c r="W41" s="13" t="str">
        <f>VLOOKUP($B41,'[1]Cost Analysis'!$C:$FO,45,FALSE)</f>
        <v>NYC</v>
      </c>
      <c r="X41" s="15" t="str">
        <f>VLOOKUP($B41,'[1]Cost Analysis'!$C:$FO,46,FALSE)</f>
        <v>All Electric</v>
      </c>
      <c r="Y41" s="14" t="str">
        <f>VLOOKUP($B41,'[1]Cost Analysis'!$C:$FO,47,FALSE)</f>
        <v>LMI</v>
      </c>
      <c r="Z41" s="13" t="str">
        <f>VLOOKUP($B41,'[1]Cost Analysis'!$C:$FO,48,FALSE)</f>
        <v>Yes</v>
      </c>
      <c r="AA41" s="13" t="str">
        <f>VLOOKUP($B41,'[1]Cost Analysis'!$C:$FO,49,FALSE)</f>
        <v>Steel and Plank</v>
      </c>
      <c r="AB41" s="13" t="str">
        <f>VLOOKUP($B41,'[1]Cost Analysis'!$C:$FO,50,FALSE)</f>
        <v>VRF - ASHP</v>
      </c>
      <c r="AC41" s="13" t="str">
        <f>VLOOKUP($B41,'[1]Cost Analysis'!$C:$FO,51,FALSE)</f>
        <v>ERV</v>
      </c>
      <c r="AD41" s="13" t="str">
        <f>VLOOKUP($B41,'[1]Cost Analysis'!$C:$FO,52,FALSE)</f>
        <v xml:space="preserve">ASHP w/ CO2 </v>
      </c>
      <c r="AE41" s="13" t="str">
        <f>VLOOKUP($B41,'[1]Cost Analysis'!$C:$FO,53,FALSE)</f>
        <v>Yes</v>
      </c>
      <c r="AF41" s="13" t="str">
        <f>VLOOKUP($B41,'[1]Cost Analysis'!$C:$FO,54,FALSE)</f>
        <v>Mid Rise</v>
      </c>
      <c r="AG41" s="13" t="str">
        <f>IF(VLOOKUP($B41,'[1]Cost Analysis'!$C:$FO,55,FALSE)="PV","Yes","No")</f>
        <v>Yes</v>
      </c>
      <c r="AH41" s="13" t="str">
        <f>VLOOKUP($B41,'[1]Cost Analysis'!$C:$FO,57,FALSE)</f>
        <v>No</v>
      </c>
      <c r="AI41" s="13" t="str">
        <f>VLOOKUP($B41,'[1]Cost Analysis'!$C:$FO,58,FALSE)</f>
        <v>No</v>
      </c>
      <c r="AJ41" s="13" t="str">
        <f>VLOOKUP($B41,'[1]Cost Analysis'!$C:$FO,59,FALSE)</f>
        <v>No</v>
      </c>
      <c r="AK41" s="13">
        <f>VLOOKUP($B41,'[1]Cost Analysis'!$C:$FO,60,FALSE)</f>
        <v>4</v>
      </c>
      <c r="AL41" s="13" t="str">
        <f>VLOOKUP($B41,'[1]Cost Analysis'!$C:$FO,61,FALSE)</f>
        <v>No</v>
      </c>
      <c r="AM41" s="13" t="str">
        <f>VLOOKUP($B41,'[1]Cost Analysis'!$C:$FO,62,FALSE)</f>
        <v>GR</v>
      </c>
      <c r="AN41" s="12" t="str">
        <f>VLOOKUP($B41,'[1]Cost Analysis'!$C:$FO,63,FALSE)</f>
        <v>2019 ECC NYS</v>
      </c>
      <c r="AO41" s="12" t="str">
        <f>VLOOKUP($B41,'[1]Cost Analysis'!$C:$FO,67,FALSE)</f>
        <v>No</v>
      </c>
      <c r="AP41" s="12" t="str">
        <f>VLOOKUP($B41,'[1]Cost Analysis'!$C:$FO,69,FALSE)</f>
        <v>No</v>
      </c>
      <c r="AQ41" s="11">
        <f>VLOOKUP($B41,'[1]Cost Analysis'!$C:$FO,74,FALSE)</f>
        <v>3637170</v>
      </c>
      <c r="AR41" s="11">
        <f>VLOOKUP($B41,'[1]Cost Analysis'!$C:$FO,75,FALSE)</f>
        <v>3367622</v>
      </c>
      <c r="AS41" s="10">
        <f>IF(ISERROR(VLOOKUP($B41,'[1]Cost Analysis'!$C:$FO,76,FALSE)),"",VLOOKUP($B41,'[1]Cost Analysis'!$C:$FO,76,FALSE))</f>
        <v>7.4109266270204588E-2</v>
      </c>
      <c r="AT41" s="9">
        <f>VLOOKUP($B41,'[1]Cost Analysis'!$C:$FO,78,FALSE)</f>
        <v>223255.13</v>
      </c>
      <c r="AU41" s="9">
        <f>VLOOKUP($B41,'[1]Cost Analysis'!$C:$FO,82,FALSE)</f>
        <v>1.4383883333762855</v>
      </c>
      <c r="AV41" s="8">
        <f>VLOOKUP($B41,'[1]Cost Analysis'!$C:$FO,83,FALSE)</f>
        <v>21.696917764090404</v>
      </c>
      <c r="AW41" s="7" t="str">
        <f>IF(VLOOKUP($B41,'[1]Cost Analysis'!$C:$FO,86,FALSE)=0,"",VLOOKUP($B41,'[1]Cost Analysis'!$C:$FO,86,FALSE))</f>
        <v/>
      </c>
      <c r="AX41" s="7" t="str">
        <f>IF(VLOOKUP($B41,'[1]Cost Analysis'!$C:$FO,87,FALSE)=0,"",VLOOKUP($B41,'[1]Cost Analysis'!$C:$FO,87,FALSE))</f>
        <v/>
      </c>
      <c r="AY41" s="7" t="str">
        <f>IF(VLOOKUP($B41,'[1]Cost Analysis'!$C:$FO,88,FALSE)=0,"",VLOOKUP($B41,'[1]Cost Analysis'!$C:$FO,88,FALSE))</f>
        <v/>
      </c>
      <c r="AZ41" s="7" t="str">
        <f>IF(VLOOKUP($B41,'[1]Cost Analysis'!$C:$FO,89,FALSE)=0,"",VLOOKUP($B41,'[1]Cost Analysis'!$C:$FO,89,FALSE))</f>
        <v/>
      </c>
      <c r="BA41" s="7" t="str">
        <f>IF(VLOOKUP($B41,'[1]Cost Analysis'!$C:$FO,90,FALSE)=0,"",VLOOKUP($B41,'[1]Cost Analysis'!$C:$FO,90,FALSE))</f>
        <v/>
      </c>
      <c r="BB41" s="7" t="str">
        <f>IF(VLOOKUP($B41,'[1]Cost Analysis'!$C:$FO,91,FALSE)=0,"",VLOOKUP($B41,'[1]Cost Analysis'!$C:$FO,91,FALSE))</f>
        <v/>
      </c>
      <c r="BC41" s="7" t="str">
        <f>IF(VLOOKUP($B41,'[1]Cost Analysis'!$C:$FO,92,FALSE)=0,"",VLOOKUP($B41,'[1]Cost Analysis'!$C:$FO,92,FALSE))</f>
        <v/>
      </c>
      <c r="BD41" s="7" t="str">
        <f>IF(VLOOKUP($B41,'[1]Cost Analysis'!$C:$FO,93,FALSE)=0,"",VLOOKUP($B41,'[1]Cost Analysis'!$C:$FO,93,FALSE))</f>
        <v/>
      </c>
      <c r="BE41" s="7" t="str">
        <f>IF(VLOOKUP($B41,'[1]Cost Analysis'!$C:$FO,94,FALSE)=0,"",VLOOKUP($B41,'[1]Cost Analysis'!$C:$FO,94,FALSE))</f>
        <v/>
      </c>
      <c r="BF41" s="7" t="str">
        <f>IF(VLOOKUP($B41,'[1]Cost Analysis'!$C:$FO,95,FALSE)=0,"",VLOOKUP($B41,'[1]Cost Analysis'!$C:$FO,95,FALSE))</f>
        <v/>
      </c>
      <c r="BG41" s="7" t="str">
        <f>IF(VLOOKUP($B41,'[1]Cost Analysis'!$C:$FO,96,FALSE)=0,"",VLOOKUP($B41,'[1]Cost Analysis'!$C:$FO,96,FALSE))</f>
        <v/>
      </c>
      <c r="BH41" s="7" t="str">
        <f>IF(VLOOKUP($B41,'[1]Cost Analysis'!$C:$FO,97,FALSE)=0,"",VLOOKUP($B41,'[1]Cost Analysis'!$C:$FO,97,FALSE))</f>
        <v/>
      </c>
      <c r="BI41" s="7" t="str">
        <f>IF(VLOOKUP($B41,'[1]Cost Analysis'!$C:$FO,98,FALSE)=0,"",VLOOKUP($B41,'[1]Cost Analysis'!$C:$FO,98,FALSE))</f>
        <v/>
      </c>
      <c r="BJ41" s="7" t="str">
        <f>IF(VLOOKUP($B41,'[1]Cost Analysis'!$C:$FO,99,FALSE)=0,"",VLOOKUP($B41,'[1]Cost Analysis'!$C:$FO,99,FALSE))</f>
        <v/>
      </c>
      <c r="BK41" s="7" t="str">
        <f>IF(VLOOKUP($B41,'[1]Cost Analysis'!$C:$FO,100,FALSE)=0,"",VLOOKUP($B41,'[1]Cost Analysis'!$C:$FO,100,FALSE))</f>
        <v/>
      </c>
      <c r="BL41" s="7" t="str">
        <f>IF(VLOOKUP($B41,'[1]Cost Analysis'!$C:$FO,101,FALSE)=0,"",VLOOKUP($B41,'[1]Cost Analysis'!$C:$FO,101,FALSE))</f>
        <v/>
      </c>
      <c r="BM41" s="7" t="str">
        <f>IF(VLOOKUP($B41,'[1]Cost Analysis'!$C:$FO,102,FALSE)=0,"",VLOOKUP($B41,'[1]Cost Analysis'!$C:$FO,102,FALSE))</f>
        <v/>
      </c>
      <c r="BN41" s="7" t="str">
        <f>IF(VLOOKUP($B41,'[1]Cost Analysis'!$C:$FO,103,FALSE)=0,"",VLOOKUP($B41,'[1]Cost Analysis'!$C:$FO,103,FALSE))</f>
        <v/>
      </c>
      <c r="BO41" s="7" t="str">
        <f>IF(VLOOKUP($B41,'[1]Cost Analysis'!$C:$FO,104,FALSE)=0,"",VLOOKUP($B41,'[1]Cost Analysis'!$C:$FO,104,FALSE))</f>
        <v/>
      </c>
      <c r="BP41" s="7" t="str">
        <f>IF(VLOOKUP($B41,'[1]Cost Analysis'!$C:$FO,105,FALSE)=0,"",VLOOKUP($B41,'[1]Cost Analysis'!$C:$FO,105,FALSE))</f>
        <v/>
      </c>
      <c r="BQ41" s="7" t="str">
        <f>IF(VLOOKUP($B41,'[1]Cost Analysis'!$C:$FO,106,FALSE)=0,"",VLOOKUP($B41,'[1]Cost Analysis'!$C:$FO,106,FALSE))</f>
        <v/>
      </c>
      <c r="BR41" s="7" t="str">
        <f>IF(VLOOKUP($B41,'[1]Cost Analysis'!$C:$FO,107,FALSE)=0,"",VLOOKUP($B41,'[1]Cost Analysis'!$C:$FO,107,FALSE))</f>
        <v/>
      </c>
      <c r="BS41" s="7" t="str">
        <f>IF(VLOOKUP($B41,'[1]Cost Analysis'!$C:$FO,108,FALSE)=0,"",VLOOKUP($B41,'[1]Cost Analysis'!$C:$FO,108,FALSE))</f>
        <v/>
      </c>
      <c r="BT41" s="7" t="str">
        <f>IF(VLOOKUP($B41,'[1]Cost Analysis'!$C:$FO,109,FALSE)=0,"",VLOOKUP($B41,'[1]Cost Analysis'!$C:$FO,109,FALSE))</f>
        <v/>
      </c>
      <c r="BU41" s="7" t="str">
        <f>IF(VLOOKUP($B41,'[1]Cost Analysis'!$C:$FO,110,FALSE)=0,"",VLOOKUP($B41,'[1]Cost Analysis'!$C:$FO,110,FALSE))</f>
        <v/>
      </c>
      <c r="BV41" s="7" t="str">
        <f>IF(VLOOKUP($B41,'[1]Cost Analysis'!$C:$FO,111,FALSE)=0,"",VLOOKUP($B41,'[1]Cost Analysis'!$C:$FO,111,FALSE))</f>
        <v/>
      </c>
      <c r="BW41" s="7" t="str">
        <f>IF(VLOOKUP($B41,'[1]Cost Analysis'!$C:$FO,112,FALSE)=0,"",VLOOKUP($B41,'[1]Cost Analysis'!$C:$FO,112,FALSE))</f>
        <v/>
      </c>
      <c r="BX41" s="7" t="str">
        <f>IF(VLOOKUP($B41,'[1]Cost Analysis'!$C:$FO,125,FALSE)=0,"",VLOOKUP($B41,'[1]Cost Analysis'!$C:$FO,125,FALSE))</f>
        <v/>
      </c>
      <c r="BY41" s="7" t="str">
        <f>IF(VLOOKUP($B41,'[1]Cost Analysis'!$C:$FO,126,FALSE)=0,"",VLOOKUP($B41,'[1]Cost Analysis'!$C:$FO,126,FALSE))</f>
        <v/>
      </c>
      <c r="BZ41" s="7" t="str">
        <f>IF(VLOOKUP($B41,'[1]Cost Analysis'!$C:$FO,127,FALSE)=0,"",VLOOKUP($B41,'[1]Cost Analysis'!$C:$FO,127,FALSE))</f>
        <v/>
      </c>
      <c r="CA41" s="7" t="str">
        <f>IF(VLOOKUP($B41,'[1]Cost Analysis'!$C:$FO,128,FALSE)=0,"",VLOOKUP($B41,'[1]Cost Analysis'!$C:$FO,128,FALSE))</f>
        <v/>
      </c>
      <c r="CB41" s="7" t="str">
        <f>IF(VLOOKUP($B41,'[1]Cost Analysis'!$C:$FO,129,FALSE)=0,"",VLOOKUP($B41,'[1]Cost Analysis'!$C:$FO,129,FALSE))</f>
        <v/>
      </c>
      <c r="CC41" s="7" t="str">
        <f>IF(VLOOKUP($B41,'[1]Cost Analysis'!$C:$FO,130,FALSE)=0,"",VLOOKUP($B41,'[1]Cost Analysis'!$C:$FO,130,FALSE))</f>
        <v/>
      </c>
      <c r="CD41" s="7" t="str">
        <f>IF(VLOOKUP($B41,'[1]Cost Analysis'!$C:$FO,131,FALSE)=0,"",VLOOKUP($B41,'[1]Cost Analysis'!$C:$FO,131,FALSE))</f>
        <v/>
      </c>
      <c r="CE41" s="7" t="str">
        <f>IF(VLOOKUP($B41,'[1]Cost Analysis'!$C:$FO,132,FALSE)=0,"",VLOOKUP($B41,'[1]Cost Analysis'!$C:$FO,132,FALSE))</f>
        <v/>
      </c>
      <c r="CF41" s="7" t="str">
        <f>IF(VLOOKUP($B41,'[1]Cost Analysis'!$C:$FO,133,FALSE)=0,"",VLOOKUP($B41,'[1]Cost Analysis'!$C:$FO,133,FALSE))</f>
        <v/>
      </c>
      <c r="CG41" s="7" t="str">
        <f>IF(VLOOKUP($B41,'[1]Cost Analysis'!$C:$FO,134,FALSE)=0,"",VLOOKUP($B41,'[1]Cost Analysis'!$C:$FO,134,FALSE))</f>
        <v/>
      </c>
      <c r="CH41" s="7" t="str">
        <f>IF(VLOOKUP($B41,'[1]Cost Analysis'!$C:$FO,135,FALSE)=0,"",VLOOKUP($B41,'[1]Cost Analysis'!$C:$FO,135,FALSE))</f>
        <v/>
      </c>
      <c r="CI41" s="7" t="str">
        <f>IF(VLOOKUP($B41,'[1]Cost Analysis'!$C:$FO,136,FALSE)=0,"",VLOOKUP($B41,'[1]Cost Analysis'!$C:$FO,136,FALSE))</f>
        <v/>
      </c>
      <c r="CJ41" s="7" t="str">
        <f>IF(VLOOKUP($B41,'[1]Cost Analysis'!$C:$FO,137,FALSE)=0,"",VLOOKUP($B41,'[1]Cost Analysis'!$C:$FO,137,FALSE))</f>
        <v/>
      </c>
      <c r="CK41" s="7" t="str">
        <f>IF(VLOOKUP($B41,'[1]Cost Analysis'!$C:$FO,138,FALSE)=0,"",VLOOKUP($B41,'[1]Cost Analysis'!$C:$FO,138,FALSE))</f>
        <v/>
      </c>
      <c r="CL41" s="7" t="str">
        <f>IF(VLOOKUP($B41,'[1]Cost Analysis'!$C:$FO,139,FALSE)=0,"",VLOOKUP($B41,'[1]Cost Analysis'!$C:$FO,139,FALSE))</f>
        <v/>
      </c>
    </row>
    <row r="42" spans="1:90" ht="30" x14ac:dyDescent="0.25">
      <c r="A42" s="13" t="s">
        <v>16</v>
      </c>
      <c r="B42" s="20" t="s">
        <v>17</v>
      </c>
      <c r="C42" s="19" t="str">
        <f>VLOOKUP($B42,'[1]Cost Analysis'!$C:$FO,7,FALSE)</f>
        <v>Proposal</v>
      </c>
      <c r="D42" s="19" t="str">
        <f>VLOOKUP($B42,'[1]Cost Analysis'!$C:$FO,8,FALSE)</f>
        <v>Early Design</v>
      </c>
      <c r="E42" s="18">
        <f>IF(ISERROR(VLOOKUP($B42,'[1]Cost Analysis'!$C:$FO,9,FALSE)),"",VLOOKUP($B42,'[1]Cost Analysis'!$C:$FO,9,FALSE))</f>
        <v>130000000</v>
      </c>
      <c r="F42" s="17">
        <f>IF(ISERROR(VLOOKUP($B42,'[1]Cost Analysis'!$C:$FO,10,FALSE)),"",VLOOKUP($B42,'[1]Cost Analysis'!$C:$FO,10,FALSE))</f>
        <v>370.53505261597746</v>
      </c>
      <c r="G42" s="9">
        <f>IF(ISERROR(VLOOKUP($B42,'[1]Cost Analysis'!$C:$FO,12,FALSE)),"",VLOOKUP($B42,'[1]Cost Analysis'!$C:$FO,12,FALSE))</f>
        <v>1102000</v>
      </c>
      <c r="H42" s="17">
        <f>IF(ISERROR(VLOOKUP($B42,'[1]Cost Analysis'!$C:$FO,13,FALSE)),"",VLOOKUP($B42,'[1]Cost Analysis'!$C:$FO,13,FALSE))</f>
        <v>3.1409971383292858</v>
      </c>
      <c r="I42" s="16">
        <f>IF(ISERROR(VLOOKUP($B42,'[1]Cost Analysis'!$C:$FO,14,FALSE)),"",VLOOKUP($B42,'[1]Cost Analysis'!$C:$FO,14,FALSE))</f>
        <v>8.4769230769230763E-3</v>
      </c>
      <c r="J42" s="18">
        <f>IF(ISERROR(VLOOKUP($B42,'[1]Cost Analysis'!$C:$FO,15,FALSE)),"",VLOOKUP($B42,'[1]Cost Analysis'!$C:$FO,15,FALSE))</f>
        <v>1328500</v>
      </c>
      <c r="K42" s="16">
        <f>IF(ISERROR(VLOOKUP($B42,'[1]Cost Analysis'!$C:$FO,16,FALSE)),"",VLOOKUP($B42,'[1]Cost Analysis'!$C:$FO,16,FALSE))</f>
        <v>1.0219230769230769E-2</v>
      </c>
      <c r="L42" s="17">
        <f>IF(ISERROR(VLOOKUP($B42,'[1]Cost Analysis'!$C:$FO,17,FALSE)),"",VLOOKUP($B42,'[1]Cost Analysis'!$C:$FO,17,FALSE))</f>
        <v>-226500</v>
      </c>
      <c r="M42" s="17">
        <f>IF(ISERROR(VLOOKUP($B42,'[1]Cost Analysis'!$C:$FO,18,FALSE)),"",VLOOKUP($B42,'[1]Cost Analysis'!$C:$FO,18,FALSE))</f>
        <v>-0.64558607244245303</v>
      </c>
      <c r="N42" s="16">
        <f>IF(ISERROR(VLOOKUP($B42,'[1]Cost Analysis'!$C:$FO,19,FALSE)),"",VLOOKUP($B42,'[1]Cost Analysis'!$C:$FO,19,FALSE))</f>
        <v>-1.7423076923076923E-3</v>
      </c>
      <c r="O42" s="11">
        <f>IF(ISERROR(VLOOKUP($B42,'[1]Cost Analysis'!$C:$FO,36,FALSE)),"",VLOOKUP($B42,'[1]Cost Analysis'!$C:$FO,36,FALSE))</f>
        <v>3096280</v>
      </c>
      <c r="P42" s="13" t="str">
        <f>IF(ISERROR(VLOOKUP($B42,'[1]Cost Analysis'!$C:$FO,37,FALSE)),"",VLOOKUP($B42,'[1]Cost Analysis'!$C:$FO,37,FALSE))</f>
        <v>Solar Electric PV Remote REC</v>
      </c>
      <c r="Q42" s="11">
        <f>VLOOKUP($B42,'[1]Cost Analysis'!$C:$FO,39,FALSE)</f>
        <v>350844</v>
      </c>
      <c r="R42" s="11">
        <f>VLOOKUP($B42,'[1]Cost Analysis'!$C:$FO,40,FALSE)</f>
        <v>265874</v>
      </c>
      <c r="S42" s="13">
        <f>VLOOKUP($B42,'[1]Cost Analysis'!$C:$FO,41,FALSE)</f>
        <v>1</v>
      </c>
      <c r="T42" s="13">
        <f>VLOOKUP($B42,'[1]Cost Analysis'!$C:$FO,42,FALSE)</f>
        <v>47</v>
      </c>
      <c r="U42" s="13">
        <f>VLOOKUP($B42,'[1]Cost Analysis'!$C:$FO,43,FALSE)</f>
        <v>285</v>
      </c>
      <c r="V42" s="13" t="str">
        <f>VLOOKUP($B42,'[1]Cost Analysis'!$C:$FO,44,FALSE)</f>
        <v>ASHRAE</v>
      </c>
      <c r="W42" s="13" t="str">
        <f>VLOOKUP($B42,'[1]Cost Analysis'!$C:$FO,45,FALSE)</f>
        <v>NYC</v>
      </c>
      <c r="X42" s="15" t="str">
        <f>VLOOKUP($B42,'[1]Cost Analysis'!$C:$FO,46,FALSE)</f>
        <v>All Electric</v>
      </c>
      <c r="Y42" s="14" t="str">
        <f>VLOOKUP($B42,'[1]Cost Analysis'!$C:$FO,47,FALSE)</f>
        <v>Market Rate</v>
      </c>
      <c r="Z42" s="13" t="str">
        <f>VLOOKUP($B42,'[1]Cost Analysis'!$C:$FO,48,FALSE)</f>
        <v>Yes</v>
      </c>
      <c r="AA42" s="13" t="str">
        <f>VLOOKUP($B42,'[1]Cost Analysis'!$C:$FO,49,FALSE)</f>
        <v>Structural Steel</v>
      </c>
      <c r="AB42" s="13" t="str">
        <f>VLOOKUP($B42,'[1]Cost Analysis'!$C:$FO,50,FALSE)</f>
        <v>VRF - ASHP</v>
      </c>
      <c r="AC42" s="13" t="str">
        <f>VLOOKUP($B42,'[1]Cost Analysis'!$C:$FO,51,FALSE)</f>
        <v>ERV</v>
      </c>
      <c r="AD42" s="13" t="str">
        <f>VLOOKUP($B42,'[1]Cost Analysis'!$C:$FO,52,FALSE)</f>
        <v>ASHP</v>
      </c>
      <c r="AE42" s="13" t="str">
        <f>VLOOKUP($B42,'[1]Cost Analysis'!$C:$FO,53,FALSE)</f>
        <v>Yes</v>
      </c>
      <c r="AF42" s="13" t="str">
        <f>VLOOKUP($B42,'[1]Cost Analysis'!$C:$FO,54,FALSE)</f>
        <v>Super Tall</v>
      </c>
      <c r="AG42" s="13" t="str">
        <f>IF(VLOOKUP($B42,'[1]Cost Analysis'!$C:$FO,55,FALSE)="PV","Yes","No")</f>
        <v>Yes</v>
      </c>
      <c r="AH42" s="13" t="str">
        <f>VLOOKUP($B42,'[1]Cost Analysis'!$C:$FO,57,FALSE)</f>
        <v>No</v>
      </c>
      <c r="AI42" s="13" t="str">
        <f>VLOOKUP($B42,'[1]Cost Analysis'!$C:$FO,58,FALSE)</f>
        <v>No</v>
      </c>
      <c r="AJ42" s="13" t="str">
        <f>VLOOKUP($B42,'[1]Cost Analysis'!$C:$FO,59,FALSE)</f>
        <v>No</v>
      </c>
      <c r="AK42" s="13">
        <f>VLOOKUP($B42,'[1]Cost Analysis'!$C:$FO,60,FALSE)</f>
        <v>4</v>
      </c>
      <c r="AL42" s="13" t="str">
        <f>VLOOKUP($B42,'[1]Cost Analysis'!$C:$FO,61,FALSE)</f>
        <v>No</v>
      </c>
      <c r="AM42" s="13" t="str">
        <f>VLOOKUP($B42,'[1]Cost Analysis'!$C:$FO,62,FALSE)</f>
        <v>NC</v>
      </c>
      <c r="AN42" s="12" t="str">
        <f>VLOOKUP($B42,'[1]Cost Analysis'!$C:$FO,63,FALSE)</f>
        <v>2016 ECC NYS</v>
      </c>
      <c r="AO42" s="12" t="str">
        <f>VLOOKUP($B42,'[1]Cost Analysis'!$C:$FO,67,FALSE)</f>
        <v>No</v>
      </c>
      <c r="AP42" s="12" t="str">
        <f>VLOOKUP($B42,'[1]Cost Analysis'!$C:$FO,69,FALSE)</f>
        <v>Yes</v>
      </c>
      <c r="AQ42" s="11">
        <f>VLOOKUP($B42,'[1]Cost Analysis'!$C:$FO,74,FALSE)</f>
        <v>15481401</v>
      </c>
      <c r="AR42" s="11">
        <f>VLOOKUP($B42,'[1]Cost Analysis'!$C:$FO,75,FALSE)</f>
        <v>12385121</v>
      </c>
      <c r="AS42" s="10">
        <f>IF(ISERROR(VLOOKUP($B42,'[1]Cost Analysis'!$C:$FO,76,FALSE)),"",VLOOKUP($B42,'[1]Cost Analysis'!$C:$FO,76,FALSE))</f>
        <v>0.19999998708127256</v>
      </c>
      <c r="AT42" s="9">
        <f>VLOOKUP($B42,'[1]Cost Analysis'!$C:$FO,78,FALSE)</f>
        <v>907431</v>
      </c>
      <c r="AU42" s="9">
        <f>VLOOKUP($B42,'[1]Cost Analysis'!$C:$FO,82,FALSE)</f>
        <v>2.5864230256182235</v>
      </c>
      <c r="AV42" s="8">
        <f>VLOOKUP($B42,'[1]Cost Analysis'!$C:$FO,83,FALSE)</f>
        <v>44.126167185415738</v>
      </c>
      <c r="AW42" s="7" t="str">
        <f>IF(VLOOKUP($B42,'[1]Cost Analysis'!$C:$FO,86,FALSE)=0,"",VLOOKUP($B42,'[1]Cost Analysis'!$C:$FO,86,FALSE))</f>
        <v/>
      </c>
      <c r="AX42" s="7" t="str">
        <f>IF(VLOOKUP($B42,'[1]Cost Analysis'!$C:$FO,87,FALSE)=0,"",VLOOKUP($B42,'[1]Cost Analysis'!$C:$FO,87,FALSE))</f>
        <v/>
      </c>
      <c r="AY42" s="7" t="str">
        <f>IF(VLOOKUP($B42,'[1]Cost Analysis'!$C:$FO,88,FALSE)=0,"",VLOOKUP($B42,'[1]Cost Analysis'!$C:$FO,88,FALSE))</f>
        <v/>
      </c>
      <c r="AZ42" s="7" t="str">
        <f>IF(VLOOKUP($B42,'[1]Cost Analysis'!$C:$FO,89,FALSE)=0,"",VLOOKUP($B42,'[1]Cost Analysis'!$C:$FO,89,FALSE))</f>
        <v/>
      </c>
      <c r="BA42" s="7" t="str">
        <f>IF(VLOOKUP($B42,'[1]Cost Analysis'!$C:$FO,90,FALSE)=0,"",VLOOKUP($B42,'[1]Cost Analysis'!$C:$FO,90,FALSE))</f>
        <v/>
      </c>
      <c r="BB42" s="7" t="str">
        <f>IF(VLOOKUP($B42,'[1]Cost Analysis'!$C:$FO,91,FALSE)=0,"",VLOOKUP($B42,'[1]Cost Analysis'!$C:$FO,91,FALSE))</f>
        <v/>
      </c>
      <c r="BC42" s="7" t="str">
        <f>IF(VLOOKUP($B42,'[1]Cost Analysis'!$C:$FO,92,FALSE)=0,"",VLOOKUP($B42,'[1]Cost Analysis'!$C:$FO,92,FALSE))</f>
        <v/>
      </c>
      <c r="BD42" s="7" t="str">
        <f>IF(VLOOKUP($B42,'[1]Cost Analysis'!$C:$FO,93,FALSE)=0,"",VLOOKUP($B42,'[1]Cost Analysis'!$C:$FO,93,FALSE))</f>
        <v/>
      </c>
      <c r="BE42" s="7" t="str">
        <f>IF(VLOOKUP($B42,'[1]Cost Analysis'!$C:$FO,94,FALSE)=0,"",VLOOKUP($B42,'[1]Cost Analysis'!$C:$FO,94,FALSE))</f>
        <v/>
      </c>
      <c r="BF42" s="7" t="str">
        <f>IF(VLOOKUP($B42,'[1]Cost Analysis'!$C:$FO,95,FALSE)=0,"",VLOOKUP($B42,'[1]Cost Analysis'!$C:$FO,95,FALSE))</f>
        <v/>
      </c>
      <c r="BG42" s="7" t="str">
        <f>IF(VLOOKUP($B42,'[1]Cost Analysis'!$C:$FO,96,FALSE)=0,"",VLOOKUP($B42,'[1]Cost Analysis'!$C:$FO,96,FALSE))</f>
        <v/>
      </c>
      <c r="BH42" s="7" t="str">
        <f>IF(VLOOKUP($B42,'[1]Cost Analysis'!$C:$FO,97,FALSE)=0,"",VLOOKUP($B42,'[1]Cost Analysis'!$C:$FO,97,FALSE))</f>
        <v/>
      </c>
      <c r="BI42" s="7" t="str">
        <f>IF(VLOOKUP($B42,'[1]Cost Analysis'!$C:$FO,98,FALSE)=0,"",VLOOKUP($B42,'[1]Cost Analysis'!$C:$FO,98,FALSE))</f>
        <v/>
      </c>
      <c r="BJ42" s="7" t="str">
        <f>IF(VLOOKUP($B42,'[1]Cost Analysis'!$C:$FO,99,FALSE)=0,"",VLOOKUP($B42,'[1]Cost Analysis'!$C:$FO,99,FALSE))</f>
        <v/>
      </c>
      <c r="BK42" s="7" t="str">
        <f>IF(VLOOKUP($B42,'[1]Cost Analysis'!$C:$FO,100,FALSE)=0,"",VLOOKUP($B42,'[1]Cost Analysis'!$C:$FO,100,FALSE))</f>
        <v/>
      </c>
      <c r="BL42" s="7" t="str">
        <f>IF(VLOOKUP($B42,'[1]Cost Analysis'!$C:$FO,101,FALSE)=0,"",VLOOKUP($B42,'[1]Cost Analysis'!$C:$FO,101,FALSE))</f>
        <v/>
      </c>
      <c r="BM42" s="7" t="str">
        <f>IF(VLOOKUP($B42,'[1]Cost Analysis'!$C:$FO,102,FALSE)=0,"",VLOOKUP($B42,'[1]Cost Analysis'!$C:$FO,102,FALSE))</f>
        <v/>
      </c>
      <c r="BN42" s="7" t="str">
        <f>IF(VLOOKUP($B42,'[1]Cost Analysis'!$C:$FO,103,FALSE)=0,"",VLOOKUP($B42,'[1]Cost Analysis'!$C:$FO,103,FALSE))</f>
        <v/>
      </c>
      <c r="BO42" s="7" t="str">
        <f>IF(VLOOKUP($B42,'[1]Cost Analysis'!$C:$FO,104,FALSE)=0,"",VLOOKUP($B42,'[1]Cost Analysis'!$C:$FO,104,FALSE))</f>
        <v/>
      </c>
      <c r="BP42" s="7" t="str">
        <f>IF(VLOOKUP($B42,'[1]Cost Analysis'!$C:$FO,105,FALSE)=0,"",VLOOKUP($B42,'[1]Cost Analysis'!$C:$FO,105,FALSE))</f>
        <v/>
      </c>
      <c r="BQ42" s="7" t="str">
        <f>IF(VLOOKUP($B42,'[1]Cost Analysis'!$C:$FO,106,FALSE)=0,"",VLOOKUP($B42,'[1]Cost Analysis'!$C:$FO,106,FALSE))</f>
        <v/>
      </c>
      <c r="BR42" s="7" t="str">
        <f>IF(VLOOKUP($B42,'[1]Cost Analysis'!$C:$FO,107,FALSE)=0,"",VLOOKUP($B42,'[1]Cost Analysis'!$C:$FO,107,FALSE))</f>
        <v/>
      </c>
      <c r="BS42" s="7" t="str">
        <f>IF(VLOOKUP($B42,'[1]Cost Analysis'!$C:$FO,108,FALSE)=0,"",VLOOKUP($B42,'[1]Cost Analysis'!$C:$FO,108,FALSE))</f>
        <v/>
      </c>
      <c r="BT42" s="7" t="str">
        <f>IF(VLOOKUP($B42,'[1]Cost Analysis'!$C:$FO,109,FALSE)=0,"",VLOOKUP($B42,'[1]Cost Analysis'!$C:$FO,109,FALSE))</f>
        <v/>
      </c>
      <c r="BU42" s="7" t="str">
        <f>IF(VLOOKUP($B42,'[1]Cost Analysis'!$C:$FO,110,FALSE)=0,"",VLOOKUP($B42,'[1]Cost Analysis'!$C:$FO,110,FALSE))</f>
        <v/>
      </c>
      <c r="BV42" s="7" t="str">
        <f>IF(VLOOKUP($B42,'[1]Cost Analysis'!$C:$FO,111,FALSE)=0,"",VLOOKUP($B42,'[1]Cost Analysis'!$C:$FO,111,FALSE))</f>
        <v/>
      </c>
      <c r="BW42" s="7" t="str">
        <f>IF(VLOOKUP($B42,'[1]Cost Analysis'!$C:$FO,112,FALSE)=0,"",VLOOKUP($B42,'[1]Cost Analysis'!$C:$FO,112,FALSE))</f>
        <v/>
      </c>
      <c r="BX42" s="7" t="str">
        <f>IF(VLOOKUP($B42,'[1]Cost Analysis'!$C:$FO,125,FALSE)=0,"",VLOOKUP($B42,'[1]Cost Analysis'!$C:$FO,125,FALSE))</f>
        <v/>
      </c>
      <c r="BY42" s="7" t="str">
        <f>IF(VLOOKUP($B42,'[1]Cost Analysis'!$C:$FO,126,FALSE)=0,"",VLOOKUP($B42,'[1]Cost Analysis'!$C:$FO,126,FALSE))</f>
        <v/>
      </c>
      <c r="BZ42" s="7" t="str">
        <f>IF(VLOOKUP($B42,'[1]Cost Analysis'!$C:$FO,127,FALSE)=0,"",VLOOKUP($B42,'[1]Cost Analysis'!$C:$FO,127,FALSE))</f>
        <v/>
      </c>
      <c r="CA42" s="7" t="str">
        <f>IF(VLOOKUP($B42,'[1]Cost Analysis'!$C:$FO,128,FALSE)=0,"",VLOOKUP($B42,'[1]Cost Analysis'!$C:$FO,128,FALSE))</f>
        <v/>
      </c>
      <c r="CB42" s="7" t="str">
        <f>IF(VLOOKUP($B42,'[1]Cost Analysis'!$C:$FO,129,FALSE)=0,"",VLOOKUP($B42,'[1]Cost Analysis'!$C:$FO,129,FALSE))</f>
        <v/>
      </c>
      <c r="CC42" s="7" t="str">
        <f>IF(VLOOKUP($B42,'[1]Cost Analysis'!$C:$FO,130,FALSE)=0,"",VLOOKUP($B42,'[1]Cost Analysis'!$C:$FO,130,FALSE))</f>
        <v/>
      </c>
      <c r="CD42" s="7" t="str">
        <f>IF(VLOOKUP($B42,'[1]Cost Analysis'!$C:$FO,131,FALSE)=0,"",VLOOKUP($B42,'[1]Cost Analysis'!$C:$FO,131,FALSE))</f>
        <v/>
      </c>
      <c r="CE42" s="7" t="str">
        <f>IF(VLOOKUP($B42,'[1]Cost Analysis'!$C:$FO,132,FALSE)=0,"",VLOOKUP($B42,'[1]Cost Analysis'!$C:$FO,132,FALSE))</f>
        <v/>
      </c>
      <c r="CF42" s="7" t="str">
        <f>IF(VLOOKUP($B42,'[1]Cost Analysis'!$C:$FO,133,FALSE)=0,"",VLOOKUP($B42,'[1]Cost Analysis'!$C:$FO,133,FALSE))</f>
        <v/>
      </c>
      <c r="CG42" s="7" t="str">
        <f>IF(VLOOKUP($B42,'[1]Cost Analysis'!$C:$FO,134,FALSE)=0,"",VLOOKUP($B42,'[1]Cost Analysis'!$C:$FO,134,FALSE))</f>
        <v/>
      </c>
      <c r="CH42" s="7" t="str">
        <f>IF(VLOOKUP($B42,'[1]Cost Analysis'!$C:$FO,135,FALSE)=0,"",VLOOKUP($B42,'[1]Cost Analysis'!$C:$FO,135,FALSE))</f>
        <v/>
      </c>
      <c r="CI42" s="7" t="str">
        <f>IF(VLOOKUP($B42,'[1]Cost Analysis'!$C:$FO,136,FALSE)=0,"",VLOOKUP($B42,'[1]Cost Analysis'!$C:$FO,136,FALSE))</f>
        <v/>
      </c>
      <c r="CJ42" s="7" t="str">
        <f>IF(VLOOKUP($B42,'[1]Cost Analysis'!$C:$FO,137,FALSE)=0,"",VLOOKUP($B42,'[1]Cost Analysis'!$C:$FO,137,FALSE))</f>
        <v/>
      </c>
      <c r="CK42" s="7" t="str">
        <f>IF(VLOOKUP($B42,'[1]Cost Analysis'!$C:$FO,138,FALSE)=0,"",VLOOKUP($B42,'[1]Cost Analysis'!$C:$FO,138,FALSE))</f>
        <v/>
      </c>
      <c r="CL42" s="7" t="str">
        <f>IF(VLOOKUP($B42,'[1]Cost Analysis'!$C:$FO,139,FALSE)=0,"",VLOOKUP($B42,'[1]Cost Analysis'!$C:$FO,139,FALSE))</f>
        <v/>
      </c>
    </row>
    <row r="43" spans="1:90" ht="30" x14ac:dyDescent="0.25">
      <c r="A43" s="13" t="s">
        <v>16</v>
      </c>
      <c r="B43" s="20" t="s">
        <v>15</v>
      </c>
      <c r="C43" s="19" t="str">
        <f>VLOOKUP($B43,'[1]Cost Analysis'!$C:$FO,7,FALSE)</f>
        <v>Milestone 2</v>
      </c>
      <c r="D43" s="19" t="str">
        <f>VLOOKUP($B43,'[1]Cost Analysis'!$C:$FO,8,FALSE)</f>
        <v>Early Design</v>
      </c>
      <c r="E43" s="18">
        <f>IF(ISERROR(VLOOKUP($B43,'[1]Cost Analysis'!$C:$FO,9,FALSE)),"",VLOOKUP($B43,'[1]Cost Analysis'!$C:$FO,9,FALSE))</f>
        <v>15277204.893877551</v>
      </c>
      <c r="F43" s="17">
        <f>IF(ISERROR(VLOOKUP($B43,'[1]Cost Analysis'!$C:$FO,10,FALSE)),"",VLOOKUP($B43,'[1]Cost Analysis'!$C:$FO,10,FALSE))</f>
        <v>842.601339908309</v>
      </c>
      <c r="G43" s="9">
        <f>IF(ISERROR(VLOOKUP($B43,'[1]Cost Analysis'!$C:$FO,12,FALSE)),"",VLOOKUP($B43,'[1]Cost Analysis'!$C:$FO,12,FALSE))</f>
        <v>765077</v>
      </c>
      <c r="H43" s="17">
        <f>IF(ISERROR(VLOOKUP($B43,'[1]Cost Analysis'!$C:$FO,13,FALSE)),"",VLOOKUP($B43,'[1]Cost Analysis'!$C:$FO,13,FALSE))</f>
        <v>41.36986376923501</v>
      </c>
      <c r="I43" s="16">
        <f>IF(ISERROR(VLOOKUP($B43,'[1]Cost Analysis'!$C:$FO,14,FALSE)),"",VLOOKUP($B43,'[1]Cost Analysis'!$C:$FO,14,FALSE))</f>
        <v>4.9097790152739178E-2</v>
      </c>
      <c r="J43" s="18">
        <f>IF(ISERROR(VLOOKUP($B43,'[1]Cost Analysis'!$C:$FO,15,FALSE)),"",VLOOKUP($B43,'[1]Cost Analysis'!$C:$FO,15,FALSE))</f>
        <v>506317</v>
      </c>
      <c r="K43" s="16">
        <f>IF(ISERROR(VLOOKUP($B43,'[1]Cost Analysis'!$C:$FO,16,FALSE)),"",VLOOKUP($B43,'[1]Cost Analysis'!$C:$FO,16,FALSE))</f>
        <v>3.3141991844523218E-2</v>
      </c>
      <c r="L43" s="17">
        <f>IF(ISERROR(VLOOKUP($B43,'[1]Cost Analysis'!$C:$FO,17,FALSE)),"",VLOOKUP($B43,'[1]Cost Analysis'!$C:$FO,17,FALSE))</f>
        <v>258760</v>
      </c>
      <c r="M43" s="17">
        <f>IF(ISERROR(VLOOKUP($B43,'[1]Cost Analysis'!$C:$FO,18,FALSE)),"",VLOOKUP($B43,'[1]Cost Analysis'!$C:$FO,18,FALSE))</f>
        <v>13.905223849216499</v>
      </c>
      <c r="N43" s="16">
        <f>IF(ISERROR(VLOOKUP($B43,'[1]Cost Analysis'!$C:$FO,19,FALSE)),"",VLOOKUP($B43,'[1]Cost Analysis'!$C:$FO,19,FALSE))</f>
        <v>1.6502731707891245E-2</v>
      </c>
      <c r="O43" s="11">
        <f>IF(ISERROR(VLOOKUP($B43,'[1]Cost Analysis'!$C:$FO,36,FALSE)),"",VLOOKUP($B43,'[1]Cost Analysis'!$C:$FO,36,FALSE))</f>
        <v>374446.72192916356</v>
      </c>
      <c r="P43" s="13" t="str">
        <f>IF(ISERROR(VLOOKUP($B43,'[1]Cost Analysis'!$C:$FO,37,FALSE)),"",VLOOKUP($B43,'[1]Cost Analysis'!$C:$FO,37,FALSE))</f>
        <v xml:space="preserve">Solar PV onsite owned </v>
      </c>
      <c r="Q43" s="11">
        <f>VLOOKUP($B43,'[1]Cost Analysis'!$C:$FO,39,FALSE)</f>
        <v>18131</v>
      </c>
      <c r="R43" s="11">
        <f>VLOOKUP($B43,'[1]Cost Analysis'!$C:$FO,40,FALSE)</f>
        <v>18131</v>
      </c>
      <c r="S43" s="13">
        <f>VLOOKUP($B43,'[1]Cost Analysis'!$C:$FO,41,FALSE)</f>
        <v>1</v>
      </c>
      <c r="T43" s="13">
        <f>VLOOKUP($B43,'[1]Cost Analysis'!$C:$FO,42,FALSE)</f>
        <v>3</v>
      </c>
      <c r="U43" s="13">
        <f>VLOOKUP($B43,'[1]Cost Analysis'!$C:$FO,43,FALSE)</f>
        <v>15</v>
      </c>
      <c r="V43" s="13" t="str">
        <f>VLOOKUP($B43,'[1]Cost Analysis'!$C:$FO,44,FALSE)</f>
        <v>Phius</v>
      </c>
      <c r="W43" s="13" t="str">
        <f>VLOOKUP($B43,'[1]Cost Analysis'!$C:$FO,45,FALSE)</f>
        <v>Western NY</v>
      </c>
      <c r="X43" s="15" t="str">
        <f>VLOOKUP($B43,'[1]Cost Analysis'!$C:$FO,46,FALSE)</f>
        <v>All Electric</v>
      </c>
      <c r="Y43" s="14" t="str">
        <f>VLOOKUP($B43,'[1]Cost Analysis'!$C:$FO,47,FALSE)</f>
        <v>LMI</v>
      </c>
      <c r="Z43" s="13" t="str">
        <f>VLOOKUP($B43,'[1]Cost Analysis'!$C:$FO,48,FALSE)</f>
        <v>Yes</v>
      </c>
      <c r="AA43" s="13" t="str">
        <f>VLOOKUP($B43,'[1]Cost Analysis'!$C:$FO,49,FALSE)</f>
        <v>Structural Steel</v>
      </c>
      <c r="AB43" s="13" t="str">
        <f>VLOOKUP($B43,'[1]Cost Analysis'!$C:$FO,50,FALSE)</f>
        <v>GSHP</v>
      </c>
      <c r="AC43" s="13" t="str">
        <f>VLOOKUP($B43,'[1]Cost Analysis'!$C:$FO,51,FALSE)</f>
        <v>ERV</v>
      </c>
      <c r="AD43" s="13" t="str">
        <f>VLOOKUP($B43,'[1]Cost Analysis'!$C:$FO,52,FALSE)</f>
        <v>GSHP</v>
      </c>
      <c r="AE43" s="13" t="str">
        <f>VLOOKUP($B43,'[1]Cost Analysis'!$C:$FO,53,FALSE)</f>
        <v>Yes</v>
      </c>
      <c r="AF43" s="13" t="str">
        <f>VLOOKUP($B43,'[1]Cost Analysis'!$C:$FO,54,FALSE)</f>
        <v>Low Rise</v>
      </c>
      <c r="AG43" s="13" t="str">
        <f>IF(VLOOKUP($B43,'[1]Cost Analysis'!$C:$FO,55,FALSE)="PV","Yes","No")</f>
        <v>Yes</v>
      </c>
      <c r="AH43" s="13" t="str">
        <f>VLOOKUP($B43,'[1]Cost Analysis'!$C:$FO,57,FALSE)</f>
        <v>No</v>
      </c>
      <c r="AI43" s="13" t="str">
        <f>VLOOKUP($B43,'[1]Cost Analysis'!$C:$FO,58,FALSE)</f>
        <v>No</v>
      </c>
      <c r="AJ43" s="13" t="str">
        <f>VLOOKUP($B43,'[1]Cost Analysis'!$C:$FO,59,FALSE)</f>
        <v>No</v>
      </c>
      <c r="AK43" s="13">
        <f>VLOOKUP($B43,'[1]Cost Analysis'!$C:$FO,60,FALSE)</f>
        <v>5</v>
      </c>
      <c r="AL43" s="13" t="str">
        <f>VLOOKUP($B43,'[1]Cost Analysis'!$C:$FO,61,FALSE)</f>
        <v>No</v>
      </c>
      <c r="AM43" s="13" t="str">
        <f>VLOOKUP($B43,'[1]Cost Analysis'!$C:$FO,62,FALSE)</f>
        <v>NC</v>
      </c>
      <c r="AN43" s="12" t="str">
        <f>VLOOKUP($B43,'[1]Cost Analysis'!$C:$FO,63,FALSE)</f>
        <v>2019 ECC NYS</v>
      </c>
      <c r="AO43" s="12" t="str">
        <f>VLOOKUP($B43,'[1]Cost Analysis'!$C:$FO,67,FALSE)</f>
        <v>Yes</v>
      </c>
      <c r="AP43" s="12" t="str">
        <f>VLOOKUP($B43,'[1]Cost Analysis'!$C:$FO,69,FALSE)</f>
        <v>No</v>
      </c>
      <c r="AQ43" s="11">
        <f>VLOOKUP($B43,'[1]Cost Analysis'!$C:$FO,74,FALSE)</f>
        <v>374446.72192916356</v>
      </c>
      <c r="AR43" s="11">
        <f>VLOOKUP($B43,'[1]Cost Analysis'!$C:$FO,75,FALSE)</f>
        <v>0</v>
      </c>
      <c r="AS43" s="10">
        <f>IF(ISERROR(VLOOKUP($B43,'[1]Cost Analysis'!$C:$FO,76,FALSE)),"",VLOOKUP($B43,'[1]Cost Analysis'!$C:$FO,76,FALSE))</f>
        <v>1</v>
      </c>
      <c r="AT43" s="9">
        <f>VLOOKUP($B43,'[1]Cost Analysis'!$C:$FO,78,FALSE)</f>
        <v>1244.3104747550867</v>
      </c>
      <c r="AU43" s="9">
        <f>VLOOKUP($B43,'[1]Cost Analysis'!$C:$FO,82,FALSE)</f>
        <v>4.8229088168801809E-2</v>
      </c>
      <c r="AV43" s="8">
        <f>VLOOKUP($B43,'[1]Cost Analysis'!$C:$FO,83,FALSE)</f>
        <v>0</v>
      </c>
      <c r="AW43" s="7">
        <f>IF(VLOOKUP($B43,'[1]Cost Analysis'!$C:$FO,86,FALSE)=0,"",VLOOKUP($B43,'[1]Cost Analysis'!$C:$FO,86,FALSE))</f>
        <v>695077</v>
      </c>
      <c r="AX43" s="7">
        <f>IF(VLOOKUP($B43,'[1]Cost Analysis'!$C:$FO,87,FALSE)=0,"",VLOOKUP($B43,'[1]Cost Analysis'!$C:$FO,87,FALSE))</f>
        <v>4104825.5599999996</v>
      </c>
      <c r="AY43" s="7">
        <f>IF(VLOOKUP($B43,'[1]Cost Analysis'!$C:$FO,88,FALSE)=0,"",VLOOKUP($B43,'[1]Cost Analysis'!$C:$FO,88,FALSE))</f>
        <v>1134500</v>
      </c>
      <c r="AZ43" s="7">
        <f>IF(VLOOKUP($B43,'[1]Cost Analysis'!$C:$FO,89,FALSE)=0,"",VLOOKUP($B43,'[1]Cost Analysis'!$C:$FO,89,FALSE))</f>
        <v>99865</v>
      </c>
      <c r="BA43" s="7">
        <f>IF(VLOOKUP($B43,'[1]Cost Analysis'!$C:$FO,90,FALSE)=0,"",VLOOKUP($B43,'[1]Cost Analysis'!$C:$FO,90,FALSE))</f>
        <v>119136.74</v>
      </c>
      <c r="BB43" s="7">
        <f>IF(VLOOKUP($B43,'[1]Cost Analysis'!$C:$FO,91,FALSE)=0,"",VLOOKUP($B43,'[1]Cost Analysis'!$C:$FO,91,FALSE))</f>
        <v>1135010</v>
      </c>
      <c r="BC43" s="7" t="str">
        <f>IF(VLOOKUP($B43,'[1]Cost Analysis'!$C:$FO,92,FALSE)=0,"",VLOOKUP($B43,'[1]Cost Analysis'!$C:$FO,92,FALSE))</f>
        <v/>
      </c>
      <c r="BD43" s="7" t="str">
        <f>IF(VLOOKUP($B43,'[1]Cost Analysis'!$C:$FO,93,FALSE)=0,"",VLOOKUP($B43,'[1]Cost Analysis'!$C:$FO,93,FALSE))</f>
        <v/>
      </c>
      <c r="BE43" s="7">
        <f>IF(VLOOKUP($B43,'[1]Cost Analysis'!$C:$FO,94,FALSE)=0,"",VLOOKUP($B43,'[1]Cost Analysis'!$C:$FO,94,FALSE))</f>
        <v>224844.69387755101</v>
      </c>
      <c r="BF43" s="7">
        <f>IF(VLOOKUP($B43,'[1]Cost Analysis'!$C:$FO,95,FALSE)=0,"",VLOOKUP($B43,'[1]Cost Analysis'!$C:$FO,95,FALSE))</f>
        <v>7763945.8999999994</v>
      </c>
      <c r="BG43" s="7">
        <f>IF(VLOOKUP($B43,'[1]Cost Analysis'!$C:$FO,96,FALSE)=0,"",VLOOKUP($B43,'[1]Cost Analysis'!$C:$FO,96,FALSE))</f>
        <v>15277204.893877551</v>
      </c>
      <c r="BH43" s="7">
        <f>IF(VLOOKUP($B43,'[1]Cost Analysis'!$C:$FO,97,FALSE)=0,"",VLOOKUP($B43,'[1]Cost Analysis'!$C:$FO,97,FALSE))</f>
        <v>-60000</v>
      </c>
      <c r="BI43" s="7">
        <f>IF(VLOOKUP($B43,'[1]Cost Analysis'!$C:$FO,98,FALSE)=0,"",VLOOKUP($B43,'[1]Cost Analysis'!$C:$FO,98,FALSE))</f>
        <v>-55819</v>
      </c>
      <c r="BJ43" s="7" t="str">
        <f>IF(VLOOKUP($B43,'[1]Cost Analysis'!$C:$FO,99,FALSE)=0,"",VLOOKUP($B43,'[1]Cost Analysis'!$C:$FO,99,FALSE))</f>
        <v/>
      </c>
      <c r="BK43" s="7" t="str">
        <f>IF(VLOOKUP($B43,'[1]Cost Analysis'!$C:$FO,100,FALSE)=0,"",VLOOKUP($B43,'[1]Cost Analysis'!$C:$FO,100,FALSE))</f>
        <v/>
      </c>
      <c r="BL43" s="7" t="str">
        <f>IF(VLOOKUP($B43,'[1]Cost Analysis'!$C:$FO,101,FALSE)=0,"",VLOOKUP($B43,'[1]Cost Analysis'!$C:$FO,101,FALSE))</f>
        <v/>
      </c>
      <c r="BM43" s="7" t="str">
        <f>IF(VLOOKUP($B43,'[1]Cost Analysis'!$C:$FO,102,FALSE)=0,"",VLOOKUP($B43,'[1]Cost Analysis'!$C:$FO,102,FALSE))</f>
        <v/>
      </c>
      <c r="BN43" s="7" t="str">
        <f>IF(VLOOKUP($B43,'[1]Cost Analysis'!$C:$FO,103,FALSE)=0,"",VLOOKUP($B43,'[1]Cost Analysis'!$C:$FO,103,FALSE))</f>
        <v/>
      </c>
      <c r="BO43" s="7">
        <f>IF(VLOOKUP($B43,'[1]Cost Analysis'!$C:$FO,104,FALSE)=0,"",VLOOKUP($B43,'[1]Cost Analysis'!$C:$FO,104,FALSE))</f>
        <v>-115819</v>
      </c>
      <c r="BP43" s="7">
        <f>IF(VLOOKUP($B43,'[1]Cost Analysis'!$C:$FO,105,FALSE)=0,"",VLOOKUP($B43,'[1]Cost Analysis'!$C:$FO,105,FALSE))</f>
        <v>-362620</v>
      </c>
      <c r="BQ43" s="7" t="str">
        <f>IF(VLOOKUP($B43,'[1]Cost Analysis'!$C:$FO,106,FALSE)=0,"",VLOOKUP($B43,'[1]Cost Analysis'!$C:$FO,106,FALSE))</f>
        <v/>
      </c>
      <c r="BR43" s="7">
        <f>IF(VLOOKUP($B43,'[1]Cost Analysis'!$C:$FO,107,FALSE)=0,"",VLOOKUP($B43,'[1]Cost Analysis'!$C:$FO,107,FALSE))</f>
        <v>-27878</v>
      </c>
      <c r="BS43" s="7" t="str">
        <f>IF(VLOOKUP($B43,'[1]Cost Analysis'!$C:$FO,108,FALSE)=0,"",VLOOKUP($B43,'[1]Cost Analysis'!$C:$FO,108,FALSE))</f>
        <v/>
      </c>
      <c r="BT43" s="7" t="str">
        <f>IF(VLOOKUP($B43,'[1]Cost Analysis'!$C:$FO,109,FALSE)=0,"",VLOOKUP($B43,'[1]Cost Analysis'!$C:$FO,109,FALSE))</f>
        <v/>
      </c>
      <c r="BU43" s="7" t="str">
        <f>IF(VLOOKUP($B43,'[1]Cost Analysis'!$C:$FO,110,FALSE)=0,"",VLOOKUP($B43,'[1]Cost Analysis'!$C:$FO,110,FALSE))</f>
        <v/>
      </c>
      <c r="BV43" s="7">
        <f>IF(VLOOKUP($B43,'[1]Cost Analysis'!$C:$FO,111,FALSE)=0,"",VLOOKUP($B43,'[1]Cost Analysis'!$C:$FO,111,FALSE))</f>
        <v>-27878</v>
      </c>
      <c r="BW43" s="7">
        <f>IF(VLOOKUP($B43,'[1]Cost Analysis'!$C:$FO,112,FALSE)=0,"",VLOOKUP($B43,'[1]Cost Analysis'!$C:$FO,112,FALSE))</f>
        <v>14770887.893877551</v>
      </c>
      <c r="BX43" s="7">
        <f>IF(VLOOKUP($B43,'[1]Cost Analysis'!$C:$FO,125,FALSE)=0,"",VLOOKUP($B43,'[1]Cost Analysis'!$C:$FO,125,FALSE))</f>
        <v>225000</v>
      </c>
      <c r="BY43" s="7">
        <f>IF(VLOOKUP($B43,'[1]Cost Analysis'!$C:$FO,126,FALSE)=0,"",VLOOKUP($B43,'[1]Cost Analysis'!$C:$FO,126,FALSE))</f>
        <v>3844825.5599999996</v>
      </c>
      <c r="BZ43" s="7">
        <f>IF(VLOOKUP($B43,'[1]Cost Analysis'!$C:$FO,127,FALSE)=0,"",VLOOKUP($B43,'[1]Cost Analysis'!$C:$FO,127,FALSE))</f>
        <v>1119500</v>
      </c>
      <c r="CA43" s="7">
        <f>IF(VLOOKUP($B43,'[1]Cost Analysis'!$C:$FO,128,FALSE)=0,"",VLOOKUP($B43,'[1]Cost Analysis'!$C:$FO,128,FALSE))</f>
        <v>99865</v>
      </c>
      <c r="CB43" s="7">
        <f>IF(VLOOKUP($B43,'[1]Cost Analysis'!$C:$FO,129,FALSE)=0,"",VLOOKUP($B43,'[1]Cost Analysis'!$C:$FO,129,FALSE))</f>
        <v>119136.74</v>
      </c>
      <c r="CC43" s="7">
        <f>IF(VLOOKUP($B43,'[1]Cost Analysis'!$C:$FO,130,FALSE)=0,"",VLOOKUP($B43,'[1]Cost Analysis'!$C:$FO,130,FALSE))</f>
        <v>1135010</v>
      </c>
      <c r="CD43" s="7" t="str">
        <f>IF(VLOOKUP($B43,'[1]Cost Analysis'!$C:$FO,131,FALSE)=0,"",VLOOKUP($B43,'[1]Cost Analysis'!$C:$FO,131,FALSE))</f>
        <v/>
      </c>
      <c r="CE43" s="7" t="str">
        <f>IF(VLOOKUP($B43,'[1]Cost Analysis'!$C:$FO,132,FALSE)=0,"",VLOOKUP($B43,'[1]Cost Analysis'!$C:$FO,132,FALSE))</f>
        <v/>
      </c>
      <c r="CF43" s="7">
        <f>IF(VLOOKUP($B43,'[1]Cost Analysis'!$C:$FO,133,FALSE)=0,"",VLOOKUP($B43,'[1]Cost Analysis'!$C:$FO,133,FALSE))</f>
        <v>224844.69387755101</v>
      </c>
      <c r="CG43" s="7">
        <f>IF(VLOOKUP($B43,'[1]Cost Analysis'!$C:$FO,134,FALSE)=0,"",VLOOKUP($B43,'[1]Cost Analysis'!$C:$FO,134,FALSE))</f>
        <v>7743945.8999999994</v>
      </c>
      <c r="CH43" s="7">
        <f>IF(VLOOKUP($B43,'[1]Cost Analysis'!$C:$FO,135,FALSE)=0,"",VLOOKUP($B43,'[1]Cost Analysis'!$C:$FO,135,FALSE))</f>
        <v>14512127.893877551</v>
      </c>
      <c r="CI43" s="7">
        <f>IF(VLOOKUP($B43,'[1]Cost Analysis'!$C:$FO,136,FALSE)=0,"",VLOOKUP($B43,'[1]Cost Analysis'!$C:$FO,136,FALSE))</f>
        <v>15000</v>
      </c>
      <c r="CJ43" s="7" t="str">
        <f>IF(VLOOKUP($B43,'[1]Cost Analysis'!$C:$FO,137,FALSE)=0,"",VLOOKUP($B43,'[1]Cost Analysis'!$C:$FO,137,FALSE))</f>
        <v/>
      </c>
      <c r="CK43" s="7" t="str">
        <f>IF(VLOOKUP($B43,'[1]Cost Analysis'!$C:$FO,138,FALSE)=0,"",VLOOKUP($B43,'[1]Cost Analysis'!$C:$FO,138,FALSE))</f>
        <v/>
      </c>
      <c r="CL43" s="7">
        <f>IF(VLOOKUP($B43,'[1]Cost Analysis'!$C:$FO,139,FALSE)=0,"",VLOOKUP($B43,'[1]Cost Analysis'!$C:$FO,139,FALSE))</f>
        <v>14527127.893877551</v>
      </c>
    </row>
    <row r="44" spans="1:90" ht="30" x14ac:dyDescent="0.25">
      <c r="A44" s="13" t="s">
        <v>1</v>
      </c>
      <c r="B44" s="20" t="s">
        <v>14</v>
      </c>
      <c r="C44" s="19" t="str">
        <f>VLOOKUP($B44,'[1]Cost Analysis'!$C:$FO,7,FALSE)</f>
        <v>Proposal</v>
      </c>
      <c r="D44" s="19" t="str">
        <f>VLOOKUP($B44,'[1]Cost Analysis'!$C:$FO,8,FALSE)</f>
        <v>Design Development</v>
      </c>
      <c r="E44" s="18">
        <f>IF(ISERROR(VLOOKUP($B44,'[1]Cost Analysis'!$C:$FO,9,FALSE)),"",VLOOKUP($B44,'[1]Cost Analysis'!$C:$FO,9,FALSE))</f>
        <v>17000000</v>
      </c>
      <c r="F44" s="17">
        <f>IF(ISERROR(VLOOKUP($B44,'[1]Cost Analysis'!$C:$FO,10,FALSE)),"",VLOOKUP($B44,'[1]Cost Analysis'!$C:$FO,10,FALSE))</f>
        <v>680</v>
      </c>
      <c r="G44" s="9">
        <f>IF(ISERROR(VLOOKUP($B44,'[1]Cost Analysis'!$C:$FO,12,FALSE)),"",VLOOKUP($B44,'[1]Cost Analysis'!$C:$FO,12,FALSE))</f>
        <v>0</v>
      </c>
      <c r="H44" s="17">
        <f>IF(ISERROR(VLOOKUP($B44,'[1]Cost Analysis'!$C:$FO,13,FALSE)),"",VLOOKUP($B44,'[1]Cost Analysis'!$C:$FO,13,FALSE))</f>
        <v>0</v>
      </c>
      <c r="I44" s="16">
        <f>IF(ISERROR(VLOOKUP($B44,'[1]Cost Analysis'!$C:$FO,14,FALSE)),"",VLOOKUP($B44,'[1]Cost Analysis'!$C:$FO,14,FALSE))</f>
        <v>0</v>
      </c>
      <c r="J44" s="18">
        <f>IF(ISERROR(VLOOKUP($B44,'[1]Cost Analysis'!$C:$FO,15,FALSE)),"",VLOOKUP($B44,'[1]Cost Analysis'!$C:$FO,15,FALSE))</f>
        <v>0</v>
      </c>
      <c r="K44" s="16">
        <f>IF(ISERROR(VLOOKUP($B44,'[1]Cost Analysis'!$C:$FO,16,FALSE)),"",VLOOKUP($B44,'[1]Cost Analysis'!$C:$FO,16,FALSE))</f>
        <v>0</v>
      </c>
      <c r="L44" s="17">
        <f>IF(ISERROR(VLOOKUP($B44,'[1]Cost Analysis'!$C:$FO,17,FALSE)),"",VLOOKUP($B44,'[1]Cost Analysis'!$C:$FO,17,FALSE))</f>
        <v>0</v>
      </c>
      <c r="M44" s="17">
        <f>IF(ISERROR(VLOOKUP($B44,'[1]Cost Analysis'!$C:$FO,18,FALSE)),"",VLOOKUP($B44,'[1]Cost Analysis'!$C:$FO,18,FALSE))</f>
        <v>0</v>
      </c>
      <c r="N44" s="16">
        <f>IF(ISERROR(VLOOKUP($B44,'[1]Cost Analysis'!$C:$FO,19,FALSE)),"",VLOOKUP($B44,'[1]Cost Analysis'!$C:$FO,19,FALSE))</f>
        <v>0</v>
      </c>
      <c r="O44" s="11">
        <f>IF(ISERROR(VLOOKUP($B44,'[1]Cost Analysis'!$C:$FO,36,FALSE)),"",VLOOKUP($B44,'[1]Cost Analysis'!$C:$FO,36,FALSE))</f>
        <v>0</v>
      </c>
      <c r="P44" s="13" t="str">
        <f>IF(ISERROR(VLOOKUP($B44,'[1]Cost Analysis'!$C:$FO,37,FALSE)),"",VLOOKUP($B44,'[1]Cost Analysis'!$C:$FO,37,FALSE))</f>
        <v>-</v>
      </c>
      <c r="Q44" s="11">
        <f>VLOOKUP($B44,'[1]Cost Analysis'!$C:$FO,39,FALSE)</f>
        <v>25000</v>
      </c>
      <c r="R44" s="11">
        <f>VLOOKUP($B44,'[1]Cost Analysis'!$C:$FO,40,FALSE)</f>
        <v>18000</v>
      </c>
      <c r="S44" s="13">
        <f>VLOOKUP($B44,'[1]Cost Analysis'!$C:$FO,41,FALSE)</f>
        <v>1</v>
      </c>
      <c r="T44" s="13">
        <f>VLOOKUP($B44,'[1]Cost Analysis'!$C:$FO,42,FALSE)</f>
        <v>7</v>
      </c>
      <c r="U44" s="13">
        <f>VLOOKUP($B44,'[1]Cost Analysis'!$C:$FO,43,FALSE)</f>
        <v>9</v>
      </c>
      <c r="V44" s="13" t="str">
        <f>VLOOKUP($B44,'[1]Cost Analysis'!$C:$FO,44,FALSE)</f>
        <v>Phius</v>
      </c>
      <c r="W44" s="13" t="str">
        <f>VLOOKUP($B44,'[1]Cost Analysis'!$C:$FO,45,FALSE)</f>
        <v>NYC</v>
      </c>
      <c r="X44" s="15" t="str">
        <f>VLOOKUP($B44,'[1]Cost Analysis'!$C:$FO,46,FALSE)</f>
        <v>All Electric</v>
      </c>
      <c r="Y44" s="14" t="str">
        <f>VLOOKUP($B44,'[1]Cost Analysis'!$C:$FO,47,FALSE)</f>
        <v>Market Rate</v>
      </c>
      <c r="Z44" s="13" t="str">
        <f>VLOOKUP($B44,'[1]Cost Analysis'!$C:$FO,48,FALSE)</f>
        <v>Yes</v>
      </c>
      <c r="AA44" s="13" t="str">
        <f>VLOOKUP($B44,'[1]Cost Analysis'!$C:$FO,49,FALSE)</f>
        <v>Block and Concrete Plank</v>
      </c>
      <c r="AB44" s="13" t="str">
        <f>VLOOKUP($B44,'[1]Cost Analysis'!$C:$FO,50,FALSE)</f>
        <v>VRF - ASHP</v>
      </c>
      <c r="AC44" s="13" t="str">
        <f>VLOOKUP($B44,'[1]Cost Analysis'!$C:$FO,51,FALSE)</f>
        <v>ERV</v>
      </c>
      <c r="AD44" s="13" t="str">
        <f>VLOOKUP($B44,'[1]Cost Analysis'!$C:$FO,52,FALSE)</f>
        <v xml:space="preserve">ASHP w/ CO2 </v>
      </c>
      <c r="AE44" s="13" t="str">
        <f>VLOOKUP($B44,'[1]Cost Analysis'!$C:$FO,53,FALSE)</f>
        <v>Yes</v>
      </c>
      <c r="AF44" s="13" t="str">
        <f>VLOOKUP($B44,'[1]Cost Analysis'!$C:$FO,54,FALSE)</f>
        <v>Mid Rise</v>
      </c>
      <c r="AG44" s="13" t="str">
        <f>IF(VLOOKUP($B44,'[1]Cost Analysis'!$C:$FO,55,FALSE)="PV","Yes","No")</f>
        <v>No</v>
      </c>
      <c r="AH44" s="13" t="str">
        <f>VLOOKUP($B44,'[1]Cost Analysis'!$C:$FO,57,FALSE)</f>
        <v>Yes</v>
      </c>
      <c r="AI44" s="13" t="str">
        <f>VLOOKUP($B44,'[1]Cost Analysis'!$C:$FO,58,FALSE)</f>
        <v>No</v>
      </c>
      <c r="AJ44" s="13" t="str">
        <f>VLOOKUP($B44,'[1]Cost Analysis'!$C:$FO,59,FALSE)</f>
        <v>No</v>
      </c>
      <c r="AK44" s="13">
        <f>VLOOKUP($B44,'[1]Cost Analysis'!$C:$FO,60,FALSE)</f>
        <v>4</v>
      </c>
      <c r="AL44" s="13" t="str">
        <f>VLOOKUP($B44,'[1]Cost Analysis'!$C:$FO,61,FALSE)</f>
        <v>No</v>
      </c>
      <c r="AM44" s="13">
        <f>VLOOKUP($B44,'[1]Cost Analysis'!$C:$FO,62,FALSE)</f>
        <v>0</v>
      </c>
      <c r="AN44" s="12" t="str">
        <f>VLOOKUP($B44,'[1]Cost Analysis'!$C:$FO,63,FALSE)</f>
        <v>2020 ECCC NYS</v>
      </c>
      <c r="AO44" s="12">
        <f>VLOOKUP($B44,'[1]Cost Analysis'!$C:$FO,67,FALSE)</f>
        <v>0</v>
      </c>
      <c r="AP44" s="12">
        <f>VLOOKUP($B44,'[1]Cost Analysis'!$C:$FO,69,FALSE)</f>
        <v>0</v>
      </c>
      <c r="AQ44" s="11">
        <f>VLOOKUP($B44,'[1]Cost Analysis'!$C:$FO,74,FALSE)</f>
        <v>0</v>
      </c>
      <c r="AR44" s="11">
        <f>VLOOKUP($B44,'[1]Cost Analysis'!$C:$FO,75,FALSE)</f>
        <v>0</v>
      </c>
      <c r="AS44" s="10">
        <f>IF(ISERROR(VLOOKUP($B44,'[1]Cost Analysis'!$C:$FO,76,FALSE)),"",VLOOKUP($B44,'[1]Cost Analysis'!$C:$FO,76,FALSE))</f>
        <v>0</v>
      </c>
      <c r="AT44" s="9">
        <f>VLOOKUP($B44,'[1]Cost Analysis'!$C:$FO,78,FALSE)</f>
        <v>0</v>
      </c>
      <c r="AU44" s="9">
        <f>VLOOKUP($B44,'[1]Cost Analysis'!$C:$FO,82,FALSE)</f>
        <v>0</v>
      </c>
      <c r="AV44" s="8">
        <f>VLOOKUP($B44,'[1]Cost Analysis'!$C:$FO,83,FALSE)</f>
        <v>0</v>
      </c>
      <c r="AW44" s="7" t="str">
        <f>IF(VLOOKUP($B44,'[1]Cost Analysis'!$C:$FO,86,FALSE)=0,"",VLOOKUP($B44,'[1]Cost Analysis'!$C:$FO,86,FALSE))</f>
        <v/>
      </c>
      <c r="AX44" s="7" t="str">
        <f>IF(VLOOKUP($B44,'[1]Cost Analysis'!$C:$FO,87,FALSE)=0,"",VLOOKUP($B44,'[1]Cost Analysis'!$C:$FO,87,FALSE))</f>
        <v/>
      </c>
      <c r="AY44" s="7" t="str">
        <f>IF(VLOOKUP($B44,'[1]Cost Analysis'!$C:$FO,88,FALSE)=0,"",VLOOKUP($B44,'[1]Cost Analysis'!$C:$FO,88,FALSE))</f>
        <v/>
      </c>
      <c r="AZ44" s="7" t="str">
        <f>IF(VLOOKUP($B44,'[1]Cost Analysis'!$C:$FO,89,FALSE)=0,"",VLOOKUP($B44,'[1]Cost Analysis'!$C:$FO,89,FALSE))</f>
        <v/>
      </c>
      <c r="BA44" s="7" t="str">
        <f>IF(VLOOKUP($B44,'[1]Cost Analysis'!$C:$FO,90,FALSE)=0,"",VLOOKUP($B44,'[1]Cost Analysis'!$C:$FO,90,FALSE))</f>
        <v/>
      </c>
      <c r="BB44" s="7" t="str">
        <f>IF(VLOOKUP($B44,'[1]Cost Analysis'!$C:$FO,91,FALSE)=0,"",VLOOKUP($B44,'[1]Cost Analysis'!$C:$FO,91,FALSE))</f>
        <v/>
      </c>
      <c r="BC44" s="7" t="str">
        <f>IF(VLOOKUP($B44,'[1]Cost Analysis'!$C:$FO,92,FALSE)=0,"",VLOOKUP($B44,'[1]Cost Analysis'!$C:$FO,92,FALSE))</f>
        <v/>
      </c>
      <c r="BD44" s="7" t="str">
        <f>IF(VLOOKUP($B44,'[1]Cost Analysis'!$C:$FO,93,FALSE)=0,"",VLOOKUP($B44,'[1]Cost Analysis'!$C:$FO,93,FALSE))</f>
        <v/>
      </c>
      <c r="BE44" s="7" t="str">
        <f>IF(VLOOKUP($B44,'[1]Cost Analysis'!$C:$FO,94,FALSE)=0,"",VLOOKUP($B44,'[1]Cost Analysis'!$C:$FO,94,FALSE))</f>
        <v/>
      </c>
      <c r="BF44" s="7" t="str">
        <f>IF(VLOOKUP($B44,'[1]Cost Analysis'!$C:$FO,95,FALSE)=0,"",VLOOKUP($B44,'[1]Cost Analysis'!$C:$FO,95,FALSE))</f>
        <v/>
      </c>
      <c r="BG44" s="7" t="str">
        <f>IF(VLOOKUP($B44,'[1]Cost Analysis'!$C:$FO,96,FALSE)=0,"",VLOOKUP($B44,'[1]Cost Analysis'!$C:$FO,96,FALSE))</f>
        <v/>
      </c>
      <c r="BH44" s="7" t="str">
        <f>IF(VLOOKUP($B44,'[1]Cost Analysis'!$C:$FO,97,FALSE)=0,"",VLOOKUP($B44,'[1]Cost Analysis'!$C:$FO,97,FALSE))</f>
        <v/>
      </c>
      <c r="BI44" s="7" t="str">
        <f>IF(VLOOKUP($B44,'[1]Cost Analysis'!$C:$FO,98,FALSE)=0,"",VLOOKUP($B44,'[1]Cost Analysis'!$C:$FO,98,FALSE))</f>
        <v/>
      </c>
      <c r="BJ44" s="7" t="str">
        <f>IF(VLOOKUP($B44,'[1]Cost Analysis'!$C:$FO,99,FALSE)=0,"",VLOOKUP($B44,'[1]Cost Analysis'!$C:$FO,99,FALSE))</f>
        <v/>
      </c>
      <c r="BK44" s="7" t="str">
        <f>IF(VLOOKUP($B44,'[1]Cost Analysis'!$C:$FO,100,FALSE)=0,"",VLOOKUP($B44,'[1]Cost Analysis'!$C:$FO,100,FALSE))</f>
        <v/>
      </c>
      <c r="BL44" s="7" t="str">
        <f>IF(VLOOKUP($B44,'[1]Cost Analysis'!$C:$FO,101,FALSE)=0,"",VLOOKUP($B44,'[1]Cost Analysis'!$C:$FO,101,FALSE))</f>
        <v/>
      </c>
      <c r="BM44" s="7" t="str">
        <f>IF(VLOOKUP($B44,'[1]Cost Analysis'!$C:$FO,102,FALSE)=0,"",VLOOKUP($B44,'[1]Cost Analysis'!$C:$FO,102,FALSE))</f>
        <v/>
      </c>
      <c r="BN44" s="7" t="str">
        <f>IF(VLOOKUP($B44,'[1]Cost Analysis'!$C:$FO,103,FALSE)=0,"",VLOOKUP($B44,'[1]Cost Analysis'!$C:$FO,103,FALSE))</f>
        <v/>
      </c>
      <c r="BO44" s="7" t="str">
        <f>IF(VLOOKUP($B44,'[1]Cost Analysis'!$C:$FO,104,FALSE)=0,"",VLOOKUP($B44,'[1]Cost Analysis'!$C:$FO,104,FALSE))</f>
        <v/>
      </c>
      <c r="BP44" s="7" t="str">
        <f>IF(VLOOKUP($B44,'[1]Cost Analysis'!$C:$FO,105,FALSE)=0,"",VLOOKUP($B44,'[1]Cost Analysis'!$C:$FO,105,FALSE))</f>
        <v/>
      </c>
      <c r="BQ44" s="7" t="str">
        <f>IF(VLOOKUP($B44,'[1]Cost Analysis'!$C:$FO,106,FALSE)=0,"",VLOOKUP($B44,'[1]Cost Analysis'!$C:$FO,106,FALSE))</f>
        <v/>
      </c>
      <c r="BR44" s="7" t="str">
        <f>IF(VLOOKUP($B44,'[1]Cost Analysis'!$C:$FO,107,FALSE)=0,"",VLOOKUP($B44,'[1]Cost Analysis'!$C:$FO,107,FALSE))</f>
        <v/>
      </c>
      <c r="BS44" s="7" t="str">
        <f>IF(VLOOKUP($B44,'[1]Cost Analysis'!$C:$FO,108,FALSE)=0,"",VLOOKUP($B44,'[1]Cost Analysis'!$C:$FO,108,FALSE))</f>
        <v/>
      </c>
      <c r="BT44" s="7" t="str">
        <f>IF(VLOOKUP($B44,'[1]Cost Analysis'!$C:$FO,109,FALSE)=0,"",VLOOKUP($B44,'[1]Cost Analysis'!$C:$FO,109,FALSE))</f>
        <v/>
      </c>
      <c r="BU44" s="7" t="str">
        <f>IF(VLOOKUP($B44,'[1]Cost Analysis'!$C:$FO,110,FALSE)=0,"",VLOOKUP($B44,'[1]Cost Analysis'!$C:$FO,110,FALSE))</f>
        <v/>
      </c>
      <c r="BV44" s="7" t="str">
        <f>IF(VLOOKUP($B44,'[1]Cost Analysis'!$C:$FO,111,FALSE)=0,"",VLOOKUP($B44,'[1]Cost Analysis'!$C:$FO,111,FALSE))</f>
        <v/>
      </c>
      <c r="BW44" s="7" t="str">
        <f>IF(VLOOKUP($B44,'[1]Cost Analysis'!$C:$FO,112,FALSE)=0,"",VLOOKUP($B44,'[1]Cost Analysis'!$C:$FO,112,FALSE))</f>
        <v/>
      </c>
      <c r="BX44" s="7" t="str">
        <f>IF(VLOOKUP($B44,'[1]Cost Analysis'!$C:$FO,125,FALSE)=0,"",VLOOKUP($B44,'[1]Cost Analysis'!$C:$FO,125,FALSE))</f>
        <v/>
      </c>
      <c r="BY44" s="7" t="str">
        <f>IF(VLOOKUP($B44,'[1]Cost Analysis'!$C:$FO,126,FALSE)=0,"",VLOOKUP($B44,'[1]Cost Analysis'!$C:$FO,126,FALSE))</f>
        <v/>
      </c>
      <c r="BZ44" s="7" t="str">
        <f>IF(VLOOKUP($B44,'[1]Cost Analysis'!$C:$FO,127,FALSE)=0,"",VLOOKUP($B44,'[1]Cost Analysis'!$C:$FO,127,FALSE))</f>
        <v/>
      </c>
      <c r="CA44" s="7" t="str">
        <f>IF(VLOOKUP($B44,'[1]Cost Analysis'!$C:$FO,128,FALSE)=0,"",VLOOKUP($B44,'[1]Cost Analysis'!$C:$FO,128,FALSE))</f>
        <v/>
      </c>
      <c r="CB44" s="7" t="str">
        <f>IF(VLOOKUP($B44,'[1]Cost Analysis'!$C:$FO,129,FALSE)=0,"",VLOOKUP($B44,'[1]Cost Analysis'!$C:$FO,129,FALSE))</f>
        <v/>
      </c>
      <c r="CC44" s="7" t="str">
        <f>IF(VLOOKUP($B44,'[1]Cost Analysis'!$C:$FO,130,FALSE)=0,"",VLOOKUP($B44,'[1]Cost Analysis'!$C:$FO,130,FALSE))</f>
        <v/>
      </c>
      <c r="CD44" s="7" t="str">
        <f>IF(VLOOKUP($B44,'[1]Cost Analysis'!$C:$FO,131,FALSE)=0,"",VLOOKUP($B44,'[1]Cost Analysis'!$C:$FO,131,FALSE))</f>
        <v/>
      </c>
      <c r="CE44" s="7" t="str">
        <f>IF(VLOOKUP($B44,'[1]Cost Analysis'!$C:$FO,132,FALSE)=0,"",VLOOKUP($B44,'[1]Cost Analysis'!$C:$FO,132,FALSE))</f>
        <v/>
      </c>
      <c r="CF44" s="7" t="str">
        <f>IF(VLOOKUP($B44,'[1]Cost Analysis'!$C:$FO,133,FALSE)=0,"",VLOOKUP($B44,'[1]Cost Analysis'!$C:$FO,133,FALSE))</f>
        <v/>
      </c>
      <c r="CG44" s="7" t="str">
        <f>IF(VLOOKUP($B44,'[1]Cost Analysis'!$C:$FO,134,FALSE)=0,"",VLOOKUP($B44,'[1]Cost Analysis'!$C:$FO,134,FALSE))</f>
        <v/>
      </c>
      <c r="CH44" s="7" t="str">
        <f>IF(VLOOKUP($B44,'[1]Cost Analysis'!$C:$FO,135,FALSE)=0,"",VLOOKUP($B44,'[1]Cost Analysis'!$C:$FO,135,FALSE))</f>
        <v/>
      </c>
      <c r="CI44" s="7" t="str">
        <f>IF(VLOOKUP($B44,'[1]Cost Analysis'!$C:$FO,136,FALSE)=0,"",VLOOKUP($B44,'[1]Cost Analysis'!$C:$FO,136,FALSE))</f>
        <v/>
      </c>
      <c r="CJ44" s="7" t="str">
        <f>IF(VLOOKUP($B44,'[1]Cost Analysis'!$C:$FO,137,FALSE)=0,"",VLOOKUP($B44,'[1]Cost Analysis'!$C:$FO,137,FALSE))</f>
        <v/>
      </c>
      <c r="CK44" s="7" t="str">
        <f>IF(VLOOKUP($B44,'[1]Cost Analysis'!$C:$FO,138,FALSE)=0,"",VLOOKUP($B44,'[1]Cost Analysis'!$C:$FO,138,FALSE))</f>
        <v/>
      </c>
      <c r="CL44" s="7" t="str">
        <f>IF(VLOOKUP($B44,'[1]Cost Analysis'!$C:$FO,139,FALSE)=0,"",VLOOKUP($B44,'[1]Cost Analysis'!$C:$FO,139,FALSE))</f>
        <v/>
      </c>
    </row>
    <row r="45" spans="1:90" ht="30" x14ac:dyDescent="0.25">
      <c r="A45" s="13" t="s">
        <v>1</v>
      </c>
      <c r="B45" s="20" t="s">
        <v>13</v>
      </c>
      <c r="C45" s="19" t="str">
        <f>VLOOKUP($B45,'[1]Cost Analysis'!$C:$FO,7,FALSE)</f>
        <v>Proposal</v>
      </c>
      <c r="D45" s="19" t="str">
        <f>VLOOKUP($B45,'[1]Cost Analysis'!$C:$FO,8,FALSE)</f>
        <v>Schematic Design</v>
      </c>
      <c r="E45" s="18">
        <f>IF(ISERROR(VLOOKUP($B45,'[1]Cost Analysis'!$C:$FO,9,FALSE)),"",VLOOKUP($B45,'[1]Cost Analysis'!$C:$FO,9,FALSE))</f>
        <v>15110113</v>
      </c>
      <c r="F45" s="17">
        <f>IF(ISERROR(VLOOKUP($B45,'[1]Cost Analysis'!$C:$FO,10,FALSE)),"",VLOOKUP($B45,'[1]Cost Analysis'!$C:$FO,10,FALSE))</f>
        <v>277.13282467949307</v>
      </c>
      <c r="G45" s="9">
        <f>IF(ISERROR(VLOOKUP($B45,'[1]Cost Analysis'!$C:$FO,12,FALSE)),"",VLOOKUP($B45,'[1]Cost Analysis'!$C:$FO,12,FALSE))</f>
        <v>0</v>
      </c>
      <c r="H45" s="17">
        <f>IF(ISERROR(VLOOKUP($B45,'[1]Cost Analysis'!$C:$FO,13,FALSE)),"",VLOOKUP($B45,'[1]Cost Analysis'!$C:$FO,13,FALSE))</f>
        <v>0</v>
      </c>
      <c r="I45" s="16">
        <f>IF(ISERROR(VLOOKUP($B45,'[1]Cost Analysis'!$C:$FO,14,FALSE)),"",VLOOKUP($B45,'[1]Cost Analysis'!$C:$FO,14,FALSE))</f>
        <v>0</v>
      </c>
      <c r="J45" s="18">
        <f>IF(ISERROR(VLOOKUP($B45,'[1]Cost Analysis'!$C:$FO,15,FALSE)),"",VLOOKUP($B45,'[1]Cost Analysis'!$C:$FO,15,FALSE))</f>
        <v>1250000</v>
      </c>
      <c r="K45" s="16">
        <f>IF(ISERROR(VLOOKUP($B45,'[1]Cost Analysis'!$C:$FO,16,FALSE)),"",VLOOKUP($B45,'[1]Cost Analysis'!$C:$FO,16,FALSE))</f>
        <v>8.2726052412711942E-2</v>
      </c>
      <c r="L45" s="17">
        <f>IF(ISERROR(VLOOKUP($B45,'[1]Cost Analysis'!$C:$FO,17,FALSE)),"",VLOOKUP($B45,'[1]Cost Analysis'!$C:$FO,17,FALSE))</f>
        <v>0</v>
      </c>
      <c r="M45" s="17">
        <f>IF(ISERROR(VLOOKUP($B45,'[1]Cost Analysis'!$C:$FO,18,FALSE)),"",VLOOKUP($B45,'[1]Cost Analysis'!$C:$FO,18,FALSE))</f>
        <v>0</v>
      </c>
      <c r="N45" s="16">
        <f>IF(ISERROR(VLOOKUP($B45,'[1]Cost Analysis'!$C:$FO,19,FALSE)),"",VLOOKUP($B45,'[1]Cost Analysis'!$C:$FO,19,FALSE))</f>
        <v>0</v>
      </c>
      <c r="O45" s="11">
        <f>IF(ISERROR(VLOOKUP($B45,'[1]Cost Analysis'!$C:$FO,36,FALSE)),"",VLOOKUP($B45,'[1]Cost Analysis'!$C:$FO,36,FALSE))</f>
        <v>133000</v>
      </c>
      <c r="P45" s="13" t="str">
        <f>IF(ISERROR(VLOOKUP($B45,'[1]Cost Analysis'!$C:$FO,37,FALSE)),"",VLOOKUP($B45,'[1]Cost Analysis'!$C:$FO,37,FALSE))</f>
        <v xml:space="preserve">Solar PV onsite owned </v>
      </c>
      <c r="Q45" s="11">
        <f>VLOOKUP($B45,'[1]Cost Analysis'!$C:$FO,39,FALSE)</f>
        <v>54523</v>
      </c>
      <c r="R45" s="11">
        <f>VLOOKUP($B45,'[1]Cost Analysis'!$C:$FO,40,FALSE)</f>
        <v>54523</v>
      </c>
      <c r="S45" s="13">
        <f>VLOOKUP($B45,'[1]Cost Analysis'!$C:$FO,41,FALSE)</f>
        <v>1</v>
      </c>
      <c r="T45" s="13">
        <f>VLOOKUP($B45,'[1]Cost Analysis'!$C:$FO,42,FALSE)</f>
        <v>4</v>
      </c>
      <c r="U45" s="13">
        <f>VLOOKUP($B45,'[1]Cost Analysis'!$C:$FO,43,FALSE)</f>
        <v>70</v>
      </c>
      <c r="V45" s="13" t="str">
        <f>VLOOKUP($B45,'[1]Cost Analysis'!$C:$FO,44,FALSE)</f>
        <v>Phius</v>
      </c>
      <c r="W45" s="13" t="str">
        <f>VLOOKUP($B45,'[1]Cost Analysis'!$C:$FO,45,FALSE)</f>
        <v>Capital Region</v>
      </c>
      <c r="X45" s="15" t="str">
        <f>VLOOKUP($B45,'[1]Cost Analysis'!$C:$FO,46,FALSE)</f>
        <v>All Electric</v>
      </c>
      <c r="Y45" s="14" t="str">
        <f>VLOOKUP($B45,'[1]Cost Analysis'!$C:$FO,47,FALSE)</f>
        <v>Market Rate</v>
      </c>
      <c r="Z45" s="13" t="str">
        <f>VLOOKUP($B45,'[1]Cost Analysis'!$C:$FO,48,FALSE)</f>
        <v>Yes</v>
      </c>
      <c r="AA45" s="13" t="str">
        <f>VLOOKUP($B45,'[1]Cost Analysis'!$C:$FO,49,FALSE)</f>
        <v>Wood Frame</v>
      </c>
      <c r="AB45" s="13" t="str">
        <f>VLOOKUP($B45,'[1]Cost Analysis'!$C:$FO,50,FALSE)</f>
        <v>VRF - ASHP</v>
      </c>
      <c r="AC45" s="13" t="str">
        <f>VLOOKUP($B45,'[1]Cost Analysis'!$C:$FO,51,FALSE)</f>
        <v>ERV</v>
      </c>
      <c r="AD45" s="13" t="str">
        <f>VLOOKUP($B45,'[1]Cost Analysis'!$C:$FO,52,FALSE)</f>
        <v>ASHP</v>
      </c>
      <c r="AE45" s="13" t="str">
        <f>VLOOKUP($B45,'[1]Cost Analysis'!$C:$FO,53,FALSE)</f>
        <v>Yes</v>
      </c>
      <c r="AF45" s="13" t="str">
        <f>VLOOKUP($B45,'[1]Cost Analysis'!$C:$FO,54,FALSE)</f>
        <v>Mid Rise</v>
      </c>
      <c r="AG45" s="13" t="str">
        <f>IF(VLOOKUP($B45,'[1]Cost Analysis'!$C:$FO,55,FALSE)="PV","Yes","No")</f>
        <v>Yes</v>
      </c>
      <c r="AH45" s="13" t="str">
        <f>VLOOKUP($B45,'[1]Cost Analysis'!$C:$FO,57,FALSE)</f>
        <v>Yes</v>
      </c>
      <c r="AI45" s="13" t="str">
        <f>VLOOKUP($B45,'[1]Cost Analysis'!$C:$FO,58,FALSE)</f>
        <v>No</v>
      </c>
      <c r="AJ45" s="13" t="str">
        <f>VLOOKUP($B45,'[1]Cost Analysis'!$C:$FO,59,FALSE)</f>
        <v>No</v>
      </c>
      <c r="AK45" s="13">
        <f>VLOOKUP($B45,'[1]Cost Analysis'!$C:$FO,60,FALSE)</f>
        <v>5</v>
      </c>
      <c r="AL45" s="13" t="str">
        <f>VLOOKUP($B45,'[1]Cost Analysis'!$C:$FO,61,FALSE)</f>
        <v>No</v>
      </c>
      <c r="AM45" s="13">
        <f>VLOOKUP($B45,'[1]Cost Analysis'!$C:$FO,62,FALSE)</f>
        <v>0</v>
      </c>
      <c r="AN45" s="12" t="str">
        <f>VLOOKUP($B45,'[1]Cost Analysis'!$C:$FO,63,FALSE)</f>
        <v>2020 ECCC NYS</v>
      </c>
      <c r="AO45" s="12">
        <f>VLOOKUP($B45,'[1]Cost Analysis'!$C:$FO,67,FALSE)</f>
        <v>0</v>
      </c>
      <c r="AP45" s="12">
        <f>VLOOKUP($B45,'[1]Cost Analysis'!$C:$FO,69,FALSE)</f>
        <v>0</v>
      </c>
      <c r="AQ45" s="11">
        <f>VLOOKUP($B45,'[1]Cost Analysis'!$C:$FO,74,FALSE)</f>
        <v>0</v>
      </c>
      <c r="AR45" s="11">
        <f>VLOOKUP($B45,'[1]Cost Analysis'!$C:$FO,75,FALSE)</f>
        <v>0</v>
      </c>
      <c r="AS45" s="10">
        <f>IF(ISERROR(VLOOKUP($B45,'[1]Cost Analysis'!$C:$FO,76,FALSE)),"",VLOOKUP($B45,'[1]Cost Analysis'!$C:$FO,76,FALSE))</f>
        <v>0</v>
      </c>
      <c r="AT45" s="9">
        <f>VLOOKUP($B45,'[1]Cost Analysis'!$C:$FO,78,FALSE)</f>
        <v>0</v>
      </c>
      <c r="AU45" s="9">
        <f>VLOOKUP($B45,'[1]Cost Analysis'!$C:$FO,82,FALSE)</f>
        <v>0</v>
      </c>
      <c r="AV45" s="8">
        <f>VLOOKUP($B45,'[1]Cost Analysis'!$C:$FO,83,FALSE)</f>
        <v>0</v>
      </c>
      <c r="AW45" s="7" t="str">
        <f>IF(VLOOKUP($B45,'[1]Cost Analysis'!$C:$FO,86,FALSE)=0,"",VLOOKUP($B45,'[1]Cost Analysis'!$C:$FO,86,FALSE))</f>
        <v/>
      </c>
      <c r="AX45" s="7" t="str">
        <f>IF(VLOOKUP($B45,'[1]Cost Analysis'!$C:$FO,87,FALSE)=0,"",VLOOKUP($B45,'[1]Cost Analysis'!$C:$FO,87,FALSE))</f>
        <v/>
      </c>
      <c r="AY45" s="7" t="str">
        <f>IF(VLOOKUP($B45,'[1]Cost Analysis'!$C:$FO,88,FALSE)=0,"",VLOOKUP($B45,'[1]Cost Analysis'!$C:$FO,88,FALSE))</f>
        <v/>
      </c>
      <c r="AZ45" s="7" t="str">
        <f>IF(VLOOKUP($B45,'[1]Cost Analysis'!$C:$FO,89,FALSE)=0,"",VLOOKUP($B45,'[1]Cost Analysis'!$C:$FO,89,FALSE))</f>
        <v/>
      </c>
      <c r="BA45" s="7" t="str">
        <f>IF(VLOOKUP($B45,'[1]Cost Analysis'!$C:$FO,90,FALSE)=0,"",VLOOKUP($B45,'[1]Cost Analysis'!$C:$FO,90,FALSE))</f>
        <v/>
      </c>
      <c r="BB45" s="7" t="str">
        <f>IF(VLOOKUP($B45,'[1]Cost Analysis'!$C:$FO,91,FALSE)=0,"",VLOOKUP($B45,'[1]Cost Analysis'!$C:$FO,91,FALSE))</f>
        <v/>
      </c>
      <c r="BC45" s="7" t="str">
        <f>IF(VLOOKUP($B45,'[1]Cost Analysis'!$C:$FO,92,FALSE)=0,"",VLOOKUP($B45,'[1]Cost Analysis'!$C:$FO,92,FALSE))</f>
        <v/>
      </c>
      <c r="BD45" s="7" t="str">
        <f>IF(VLOOKUP($B45,'[1]Cost Analysis'!$C:$FO,93,FALSE)=0,"",VLOOKUP($B45,'[1]Cost Analysis'!$C:$FO,93,FALSE))</f>
        <v/>
      </c>
      <c r="BE45" s="7" t="str">
        <f>IF(VLOOKUP($B45,'[1]Cost Analysis'!$C:$FO,94,FALSE)=0,"",VLOOKUP($B45,'[1]Cost Analysis'!$C:$FO,94,FALSE))</f>
        <v/>
      </c>
      <c r="BF45" s="7" t="str">
        <f>IF(VLOOKUP($B45,'[1]Cost Analysis'!$C:$FO,95,FALSE)=0,"",VLOOKUP($B45,'[1]Cost Analysis'!$C:$FO,95,FALSE))</f>
        <v/>
      </c>
      <c r="BG45" s="7" t="str">
        <f>IF(VLOOKUP($B45,'[1]Cost Analysis'!$C:$FO,96,FALSE)=0,"",VLOOKUP($B45,'[1]Cost Analysis'!$C:$FO,96,FALSE))</f>
        <v/>
      </c>
      <c r="BH45" s="7" t="str">
        <f>IF(VLOOKUP($B45,'[1]Cost Analysis'!$C:$FO,97,FALSE)=0,"",VLOOKUP($B45,'[1]Cost Analysis'!$C:$FO,97,FALSE))</f>
        <v/>
      </c>
      <c r="BI45" s="7" t="str">
        <f>IF(VLOOKUP($B45,'[1]Cost Analysis'!$C:$FO,98,FALSE)=0,"",VLOOKUP($B45,'[1]Cost Analysis'!$C:$FO,98,FALSE))</f>
        <v/>
      </c>
      <c r="BJ45" s="7" t="str">
        <f>IF(VLOOKUP($B45,'[1]Cost Analysis'!$C:$FO,99,FALSE)=0,"",VLOOKUP($B45,'[1]Cost Analysis'!$C:$FO,99,FALSE))</f>
        <v/>
      </c>
      <c r="BK45" s="7" t="str">
        <f>IF(VLOOKUP($B45,'[1]Cost Analysis'!$C:$FO,100,FALSE)=0,"",VLOOKUP($B45,'[1]Cost Analysis'!$C:$FO,100,FALSE))</f>
        <v/>
      </c>
      <c r="BL45" s="7" t="str">
        <f>IF(VLOOKUP($B45,'[1]Cost Analysis'!$C:$FO,101,FALSE)=0,"",VLOOKUP($B45,'[1]Cost Analysis'!$C:$FO,101,FALSE))</f>
        <v/>
      </c>
      <c r="BM45" s="7" t="str">
        <f>IF(VLOOKUP($B45,'[1]Cost Analysis'!$C:$FO,102,FALSE)=0,"",VLOOKUP($B45,'[1]Cost Analysis'!$C:$FO,102,FALSE))</f>
        <v/>
      </c>
      <c r="BN45" s="7" t="str">
        <f>IF(VLOOKUP($B45,'[1]Cost Analysis'!$C:$FO,103,FALSE)=0,"",VLOOKUP($B45,'[1]Cost Analysis'!$C:$FO,103,FALSE))</f>
        <v/>
      </c>
      <c r="BO45" s="7" t="str">
        <f>IF(VLOOKUP($B45,'[1]Cost Analysis'!$C:$FO,104,FALSE)=0,"",VLOOKUP($B45,'[1]Cost Analysis'!$C:$FO,104,FALSE))</f>
        <v/>
      </c>
      <c r="BP45" s="7" t="str">
        <f>IF(VLOOKUP($B45,'[1]Cost Analysis'!$C:$FO,105,FALSE)=0,"",VLOOKUP($B45,'[1]Cost Analysis'!$C:$FO,105,FALSE))</f>
        <v/>
      </c>
      <c r="BQ45" s="7" t="str">
        <f>IF(VLOOKUP($B45,'[1]Cost Analysis'!$C:$FO,106,FALSE)=0,"",VLOOKUP($B45,'[1]Cost Analysis'!$C:$FO,106,FALSE))</f>
        <v/>
      </c>
      <c r="BR45" s="7" t="str">
        <f>IF(VLOOKUP($B45,'[1]Cost Analysis'!$C:$FO,107,FALSE)=0,"",VLOOKUP($B45,'[1]Cost Analysis'!$C:$FO,107,FALSE))</f>
        <v/>
      </c>
      <c r="BS45" s="7" t="str">
        <f>IF(VLOOKUP($B45,'[1]Cost Analysis'!$C:$FO,108,FALSE)=0,"",VLOOKUP($B45,'[1]Cost Analysis'!$C:$FO,108,FALSE))</f>
        <v/>
      </c>
      <c r="BT45" s="7" t="str">
        <f>IF(VLOOKUP($B45,'[1]Cost Analysis'!$C:$FO,109,FALSE)=0,"",VLOOKUP($B45,'[1]Cost Analysis'!$C:$FO,109,FALSE))</f>
        <v/>
      </c>
      <c r="BU45" s="7" t="str">
        <f>IF(VLOOKUP($B45,'[1]Cost Analysis'!$C:$FO,110,FALSE)=0,"",VLOOKUP($B45,'[1]Cost Analysis'!$C:$FO,110,FALSE))</f>
        <v/>
      </c>
      <c r="BV45" s="7" t="str">
        <f>IF(VLOOKUP($B45,'[1]Cost Analysis'!$C:$FO,111,FALSE)=0,"",VLOOKUP($B45,'[1]Cost Analysis'!$C:$FO,111,FALSE))</f>
        <v/>
      </c>
      <c r="BW45" s="7" t="str">
        <f>IF(VLOOKUP($B45,'[1]Cost Analysis'!$C:$FO,112,FALSE)=0,"",VLOOKUP($B45,'[1]Cost Analysis'!$C:$FO,112,FALSE))</f>
        <v/>
      </c>
      <c r="BX45" s="7" t="str">
        <f>IF(VLOOKUP($B45,'[1]Cost Analysis'!$C:$FO,125,FALSE)=0,"",VLOOKUP($B45,'[1]Cost Analysis'!$C:$FO,125,FALSE))</f>
        <v/>
      </c>
      <c r="BY45" s="7" t="str">
        <f>IF(VLOOKUP($B45,'[1]Cost Analysis'!$C:$FO,126,FALSE)=0,"",VLOOKUP($B45,'[1]Cost Analysis'!$C:$FO,126,FALSE))</f>
        <v/>
      </c>
      <c r="BZ45" s="7" t="str">
        <f>IF(VLOOKUP($B45,'[1]Cost Analysis'!$C:$FO,127,FALSE)=0,"",VLOOKUP($B45,'[1]Cost Analysis'!$C:$FO,127,FALSE))</f>
        <v/>
      </c>
      <c r="CA45" s="7" t="str">
        <f>IF(VLOOKUP($B45,'[1]Cost Analysis'!$C:$FO,128,FALSE)=0,"",VLOOKUP($B45,'[1]Cost Analysis'!$C:$FO,128,FALSE))</f>
        <v/>
      </c>
      <c r="CB45" s="7" t="str">
        <f>IF(VLOOKUP($B45,'[1]Cost Analysis'!$C:$FO,129,FALSE)=0,"",VLOOKUP($B45,'[1]Cost Analysis'!$C:$FO,129,FALSE))</f>
        <v/>
      </c>
      <c r="CC45" s="7" t="str">
        <f>IF(VLOOKUP($B45,'[1]Cost Analysis'!$C:$FO,130,FALSE)=0,"",VLOOKUP($B45,'[1]Cost Analysis'!$C:$FO,130,FALSE))</f>
        <v/>
      </c>
      <c r="CD45" s="7" t="str">
        <f>IF(VLOOKUP($B45,'[1]Cost Analysis'!$C:$FO,131,FALSE)=0,"",VLOOKUP($B45,'[1]Cost Analysis'!$C:$FO,131,FALSE))</f>
        <v/>
      </c>
      <c r="CE45" s="7" t="str">
        <f>IF(VLOOKUP($B45,'[1]Cost Analysis'!$C:$FO,132,FALSE)=0,"",VLOOKUP($B45,'[1]Cost Analysis'!$C:$FO,132,FALSE))</f>
        <v/>
      </c>
      <c r="CF45" s="7" t="str">
        <f>IF(VLOOKUP($B45,'[1]Cost Analysis'!$C:$FO,133,FALSE)=0,"",VLOOKUP($B45,'[1]Cost Analysis'!$C:$FO,133,FALSE))</f>
        <v/>
      </c>
      <c r="CG45" s="7" t="str">
        <f>IF(VLOOKUP($B45,'[1]Cost Analysis'!$C:$FO,134,FALSE)=0,"",VLOOKUP($B45,'[1]Cost Analysis'!$C:$FO,134,FALSE))</f>
        <v/>
      </c>
      <c r="CH45" s="7" t="str">
        <f>IF(VLOOKUP($B45,'[1]Cost Analysis'!$C:$FO,135,FALSE)=0,"",VLOOKUP($B45,'[1]Cost Analysis'!$C:$FO,135,FALSE))</f>
        <v/>
      </c>
      <c r="CI45" s="7" t="str">
        <f>IF(VLOOKUP($B45,'[1]Cost Analysis'!$C:$FO,136,FALSE)=0,"",VLOOKUP($B45,'[1]Cost Analysis'!$C:$FO,136,FALSE))</f>
        <v/>
      </c>
      <c r="CJ45" s="7" t="str">
        <f>IF(VLOOKUP($B45,'[1]Cost Analysis'!$C:$FO,137,FALSE)=0,"",VLOOKUP($B45,'[1]Cost Analysis'!$C:$FO,137,FALSE))</f>
        <v/>
      </c>
      <c r="CK45" s="7" t="str">
        <f>IF(VLOOKUP($B45,'[1]Cost Analysis'!$C:$FO,138,FALSE)=0,"",VLOOKUP($B45,'[1]Cost Analysis'!$C:$FO,138,FALSE))</f>
        <v/>
      </c>
      <c r="CL45" s="7" t="str">
        <f>IF(VLOOKUP($B45,'[1]Cost Analysis'!$C:$FO,139,FALSE)=0,"",VLOOKUP($B45,'[1]Cost Analysis'!$C:$FO,139,FALSE))</f>
        <v/>
      </c>
    </row>
    <row r="46" spans="1:90" ht="75" x14ac:dyDescent="0.25">
      <c r="A46" s="13" t="s">
        <v>1</v>
      </c>
      <c r="B46" s="20" t="s">
        <v>12</v>
      </c>
      <c r="C46" s="19" t="str">
        <f>VLOOKUP($B46,'[1]Cost Analysis'!$C:$FO,7,FALSE)</f>
        <v>Proposal</v>
      </c>
      <c r="D46" s="19" t="str">
        <f>VLOOKUP($B46,'[1]Cost Analysis'!$C:$FO,8,FALSE)</f>
        <v>Schematic Design</v>
      </c>
      <c r="E46" s="18">
        <f>IF(ISERROR(VLOOKUP($B46,'[1]Cost Analysis'!$C:$FO,9,FALSE)),"",VLOOKUP($B46,'[1]Cost Analysis'!$C:$FO,9,FALSE))</f>
        <v>201000000</v>
      </c>
      <c r="F46" s="17">
        <f>IF(ISERROR(VLOOKUP($B46,'[1]Cost Analysis'!$C:$FO,10,FALSE)),"",VLOOKUP($B46,'[1]Cost Analysis'!$C:$FO,10,FALSE))</f>
        <v>987.8266339684584</v>
      </c>
      <c r="G46" s="9">
        <f>IF(ISERROR(VLOOKUP($B46,'[1]Cost Analysis'!$C:$FO,12,FALSE)),"",VLOOKUP($B46,'[1]Cost Analysis'!$C:$FO,12,FALSE))</f>
        <v>0</v>
      </c>
      <c r="H46" s="17">
        <f>IF(ISERROR(VLOOKUP($B46,'[1]Cost Analysis'!$C:$FO,13,FALSE)),"",VLOOKUP($B46,'[1]Cost Analysis'!$C:$FO,13,FALSE))</f>
        <v>0</v>
      </c>
      <c r="I46" s="16">
        <f>IF(ISERROR(VLOOKUP($B46,'[1]Cost Analysis'!$C:$FO,14,FALSE)),"",VLOOKUP($B46,'[1]Cost Analysis'!$C:$FO,14,FALSE))</f>
        <v>0</v>
      </c>
      <c r="J46" s="18">
        <f>IF(ISERROR(VLOOKUP($B46,'[1]Cost Analysis'!$C:$FO,15,FALSE)),"",VLOOKUP($B46,'[1]Cost Analysis'!$C:$FO,15,FALSE))</f>
        <v>1440000</v>
      </c>
      <c r="K46" s="16">
        <f>IF(ISERROR(VLOOKUP($B46,'[1]Cost Analysis'!$C:$FO,16,FALSE)),"",VLOOKUP($B46,'[1]Cost Analysis'!$C:$FO,16,FALSE))</f>
        <v>7.164179104477612E-3</v>
      </c>
      <c r="L46" s="17">
        <f>IF(ISERROR(VLOOKUP($B46,'[1]Cost Analysis'!$C:$FO,17,FALSE)),"",VLOOKUP($B46,'[1]Cost Analysis'!$C:$FO,17,FALSE))</f>
        <v>0</v>
      </c>
      <c r="M46" s="17">
        <f>IF(ISERROR(VLOOKUP($B46,'[1]Cost Analysis'!$C:$FO,18,FALSE)),"",VLOOKUP($B46,'[1]Cost Analysis'!$C:$FO,18,FALSE))</f>
        <v>0</v>
      </c>
      <c r="N46" s="16">
        <f>IF(ISERROR(VLOOKUP($B46,'[1]Cost Analysis'!$C:$FO,19,FALSE)),"",VLOOKUP($B46,'[1]Cost Analysis'!$C:$FO,19,FALSE))</f>
        <v>0</v>
      </c>
      <c r="O46" s="11">
        <f>IF(ISERROR(VLOOKUP($B46,'[1]Cost Analysis'!$C:$FO,36,FALSE)),"",VLOOKUP($B46,'[1]Cost Analysis'!$C:$FO,36,FALSE))</f>
        <v>0</v>
      </c>
      <c r="P46" s="13" t="str">
        <f>IF(ISERROR(VLOOKUP($B46,'[1]Cost Analysis'!$C:$FO,37,FALSE)),"",VLOOKUP($B46,'[1]Cost Analysis'!$C:$FO,37,FALSE))</f>
        <v>-</v>
      </c>
      <c r="Q46" s="11">
        <f>VLOOKUP($B46,'[1]Cost Analysis'!$C:$FO,39,FALSE)</f>
        <v>203477</v>
      </c>
      <c r="R46" s="11">
        <f>VLOOKUP($B46,'[1]Cost Analysis'!$C:$FO,40,FALSE)</f>
        <v>179339</v>
      </c>
      <c r="S46" s="13">
        <f>VLOOKUP($B46,'[1]Cost Analysis'!$C:$FO,41,FALSE)</f>
        <v>3</v>
      </c>
      <c r="T46" s="13">
        <f>VLOOKUP($B46,'[1]Cost Analysis'!$C:$FO,42,FALSE)</f>
        <v>12</v>
      </c>
      <c r="U46" s="13">
        <f>VLOOKUP($B46,'[1]Cost Analysis'!$C:$FO,43,FALSE)</f>
        <v>174</v>
      </c>
      <c r="V46" s="13" t="str">
        <f>VLOOKUP($B46,'[1]Cost Analysis'!$C:$FO,44,FALSE)</f>
        <v>PHI</v>
      </c>
      <c r="W46" s="13" t="str">
        <f>VLOOKUP($B46,'[1]Cost Analysis'!$C:$FO,45,FALSE)</f>
        <v>NYC</v>
      </c>
      <c r="X46" s="15" t="str">
        <f>VLOOKUP($B46,'[1]Cost Analysis'!$C:$FO,46,FALSE)</f>
        <v>All Electric</v>
      </c>
      <c r="Y46" s="14" t="str">
        <f>VLOOKUP($B46,'[1]Cost Analysis'!$C:$FO,47,FALSE)</f>
        <v>Market Rate</v>
      </c>
      <c r="Z46" s="13" t="str">
        <f>VLOOKUP($B46,'[1]Cost Analysis'!$C:$FO,48,FALSE)</f>
        <v>Yes</v>
      </c>
      <c r="AA46" s="13" t="str">
        <f>VLOOKUP($B46,'[1]Cost Analysis'!$C:$FO,49,FALSE)</f>
        <v>Cast in Place Concrete</v>
      </c>
      <c r="AB46" s="13" t="str">
        <f>VLOOKUP($B46,'[1]Cost Analysis'!$C:$FO,50,FALSE)</f>
        <v>VRF - ASHP</v>
      </c>
      <c r="AC46" s="13" t="str">
        <f>VLOOKUP($B46,'[1]Cost Analysis'!$C:$FO,51,FALSE)</f>
        <v>ERV</v>
      </c>
      <c r="AD46" s="13" t="str">
        <f>VLOOKUP($B46,'[1]Cost Analysis'!$C:$FO,52,FALSE)</f>
        <v xml:space="preserve">Communal ASHP hot water heaters at 9th Ave; Unitized hybrid electric heat pump WH at W36th St </v>
      </c>
      <c r="AE46" s="13" t="str">
        <f>VLOOKUP($B46,'[1]Cost Analysis'!$C:$FO,53,FALSE)</f>
        <v>Yes</v>
      </c>
      <c r="AF46" s="13" t="str">
        <f>VLOOKUP($B46,'[1]Cost Analysis'!$C:$FO,54,FALSE)</f>
        <v>Mid Rise</v>
      </c>
      <c r="AG46" s="13" t="str">
        <f>IF(VLOOKUP($B46,'[1]Cost Analysis'!$C:$FO,55,FALSE)="PV","Yes","No")</f>
        <v>No</v>
      </c>
      <c r="AH46" s="13" t="str">
        <f>VLOOKUP($B46,'[1]Cost Analysis'!$C:$FO,57,FALSE)</f>
        <v>No</v>
      </c>
      <c r="AI46" s="13" t="str">
        <f>VLOOKUP($B46,'[1]Cost Analysis'!$C:$FO,58,FALSE)</f>
        <v>No</v>
      </c>
      <c r="AJ46" s="13" t="str">
        <f>VLOOKUP($B46,'[1]Cost Analysis'!$C:$FO,59,FALSE)</f>
        <v>No</v>
      </c>
      <c r="AK46" s="13">
        <f>VLOOKUP($B46,'[1]Cost Analysis'!$C:$FO,60,FALSE)</f>
        <v>4</v>
      </c>
      <c r="AL46" s="13" t="str">
        <f>VLOOKUP($B46,'[1]Cost Analysis'!$C:$FO,61,FALSE)</f>
        <v>No</v>
      </c>
      <c r="AM46" s="13">
        <f>VLOOKUP($B46,'[1]Cost Analysis'!$C:$FO,62,FALSE)</f>
        <v>0</v>
      </c>
      <c r="AN46" s="12" t="str">
        <f>VLOOKUP($B46,'[1]Cost Analysis'!$C:$FO,63,FALSE)</f>
        <v>2020 ECCC NYS</v>
      </c>
      <c r="AO46" s="12">
        <f>VLOOKUP($B46,'[1]Cost Analysis'!$C:$FO,67,FALSE)</f>
        <v>0</v>
      </c>
      <c r="AP46" s="12">
        <f>VLOOKUP($B46,'[1]Cost Analysis'!$C:$FO,69,FALSE)</f>
        <v>0</v>
      </c>
      <c r="AQ46" s="11">
        <f>VLOOKUP($B46,'[1]Cost Analysis'!$C:$FO,74,FALSE)</f>
        <v>0</v>
      </c>
      <c r="AR46" s="11">
        <f>VLOOKUP($B46,'[1]Cost Analysis'!$C:$FO,75,FALSE)</f>
        <v>0</v>
      </c>
      <c r="AS46" s="10">
        <f>IF(ISERROR(VLOOKUP($B46,'[1]Cost Analysis'!$C:$FO,76,FALSE)),"",VLOOKUP($B46,'[1]Cost Analysis'!$C:$FO,76,FALSE))</f>
        <v>0</v>
      </c>
      <c r="AT46" s="9">
        <f>VLOOKUP($B46,'[1]Cost Analysis'!$C:$FO,78,FALSE)</f>
        <v>0</v>
      </c>
      <c r="AU46" s="9">
        <f>VLOOKUP($B46,'[1]Cost Analysis'!$C:$FO,82,FALSE)</f>
        <v>0</v>
      </c>
      <c r="AV46" s="8">
        <f>VLOOKUP($B46,'[1]Cost Analysis'!$C:$FO,83,FALSE)</f>
        <v>0</v>
      </c>
      <c r="AW46" s="7" t="str">
        <f>IF(VLOOKUP($B46,'[1]Cost Analysis'!$C:$FO,86,FALSE)=0,"",VLOOKUP($B46,'[1]Cost Analysis'!$C:$FO,86,FALSE))</f>
        <v/>
      </c>
      <c r="AX46" s="7" t="str">
        <f>IF(VLOOKUP($B46,'[1]Cost Analysis'!$C:$FO,87,FALSE)=0,"",VLOOKUP($B46,'[1]Cost Analysis'!$C:$FO,87,FALSE))</f>
        <v/>
      </c>
      <c r="AY46" s="7" t="str">
        <f>IF(VLOOKUP($B46,'[1]Cost Analysis'!$C:$FO,88,FALSE)=0,"",VLOOKUP($B46,'[1]Cost Analysis'!$C:$FO,88,FALSE))</f>
        <v/>
      </c>
      <c r="AZ46" s="7" t="str">
        <f>IF(VLOOKUP($B46,'[1]Cost Analysis'!$C:$FO,89,FALSE)=0,"",VLOOKUP($B46,'[1]Cost Analysis'!$C:$FO,89,FALSE))</f>
        <v/>
      </c>
      <c r="BA46" s="7" t="str">
        <f>IF(VLOOKUP($B46,'[1]Cost Analysis'!$C:$FO,90,FALSE)=0,"",VLOOKUP($B46,'[1]Cost Analysis'!$C:$FO,90,FALSE))</f>
        <v/>
      </c>
      <c r="BB46" s="7" t="str">
        <f>IF(VLOOKUP($B46,'[1]Cost Analysis'!$C:$FO,91,FALSE)=0,"",VLOOKUP($B46,'[1]Cost Analysis'!$C:$FO,91,FALSE))</f>
        <v/>
      </c>
      <c r="BC46" s="7" t="str">
        <f>IF(VLOOKUP($B46,'[1]Cost Analysis'!$C:$FO,92,FALSE)=0,"",VLOOKUP($B46,'[1]Cost Analysis'!$C:$FO,92,FALSE))</f>
        <v/>
      </c>
      <c r="BD46" s="7" t="str">
        <f>IF(VLOOKUP($B46,'[1]Cost Analysis'!$C:$FO,93,FALSE)=0,"",VLOOKUP($B46,'[1]Cost Analysis'!$C:$FO,93,FALSE))</f>
        <v/>
      </c>
      <c r="BE46" s="7" t="str">
        <f>IF(VLOOKUP($B46,'[1]Cost Analysis'!$C:$FO,94,FALSE)=0,"",VLOOKUP($B46,'[1]Cost Analysis'!$C:$FO,94,FALSE))</f>
        <v/>
      </c>
      <c r="BF46" s="7" t="str">
        <f>IF(VLOOKUP($B46,'[1]Cost Analysis'!$C:$FO,95,FALSE)=0,"",VLOOKUP($B46,'[1]Cost Analysis'!$C:$FO,95,FALSE))</f>
        <v/>
      </c>
      <c r="BG46" s="7" t="str">
        <f>IF(VLOOKUP($B46,'[1]Cost Analysis'!$C:$FO,96,FALSE)=0,"",VLOOKUP($B46,'[1]Cost Analysis'!$C:$FO,96,FALSE))</f>
        <v/>
      </c>
      <c r="BH46" s="7" t="str">
        <f>IF(VLOOKUP($B46,'[1]Cost Analysis'!$C:$FO,97,FALSE)=0,"",VLOOKUP($B46,'[1]Cost Analysis'!$C:$FO,97,FALSE))</f>
        <v/>
      </c>
      <c r="BI46" s="7" t="str">
        <f>IF(VLOOKUP($B46,'[1]Cost Analysis'!$C:$FO,98,FALSE)=0,"",VLOOKUP($B46,'[1]Cost Analysis'!$C:$FO,98,FALSE))</f>
        <v/>
      </c>
      <c r="BJ46" s="7" t="str">
        <f>IF(VLOOKUP($B46,'[1]Cost Analysis'!$C:$FO,99,FALSE)=0,"",VLOOKUP($B46,'[1]Cost Analysis'!$C:$FO,99,FALSE))</f>
        <v/>
      </c>
      <c r="BK46" s="7" t="str">
        <f>IF(VLOOKUP($B46,'[1]Cost Analysis'!$C:$FO,100,FALSE)=0,"",VLOOKUP($B46,'[1]Cost Analysis'!$C:$FO,100,FALSE))</f>
        <v/>
      </c>
      <c r="BL46" s="7" t="str">
        <f>IF(VLOOKUP($B46,'[1]Cost Analysis'!$C:$FO,101,FALSE)=0,"",VLOOKUP($B46,'[1]Cost Analysis'!$C:$FO,101,FALSE))</f>
        <v/>
      </c>
      <c r="BM46" s="7" t="str">
        <f>IF(VLOOKUP($B46,'[1]Cost Analysis'!$C:$FO,102,FALSE)=0,"",VLOOKUP($B46,'[1]Cost Analysis'!$C:$FO,102,FALSE))</f>
        <v/>
      </c>
      <c r="BN46" s="7" t="str">
        <f>IF(VLOOKUP($B46,'[1]Cost Analysis'!$C:$FO,103,FALSE)=0,"",VLOOKUP($B46,'[1]Cost Analysis'!$C:$FO,103,FALSE))</f>
        <v/>
      </c>
      <c r="BO46" s="7" t="str">
        <f>IF(VLOOKUP($B46,'[1]Cost Analysis'!$C:$FO,104,FALSE)=0,"",VLOOKUP($B46,'[1]Cost Analysis'!$C:$FO,104,FALSE))</f>
        <v/>
      </c>
      <c r="BP46" s="7" t="str">
        <f>IF(VLOOKUP($B46,'[1]Cost Analysis'!$C:$FO,105,FALSE)=0,"",VLOOKUP($B46,'[1]Cost Analysis'!$C:$FO,105,FALSE))</f>
        <v/>
      </c>
      <c r="BQ46" s="7" t="str">
        <f>IF(VLOOKUP($B46,'[1]Cost Analysis'!$C:$FO,106,FALSE)=0,"",VLOOKUP($B46,'[1]Cost Analysis'!$C:$FO,106,FALSE))</f>
        <v/>
      </c>
      <c r="BR46" s="7" t="str">
        <f>IF(VLOOKUP($B46,'[1]Cost Analysis'!$C:$FO,107,FALSE)=0,"",VLOOKUP($B46,'[1]Cost Analysis'!$C:$FO,107,FALSE))</f>
        <v/>
      </c>
      <c r="BS46" s="7" t="str">
        <f>IF(VLOOKUP($B46,'[1]Cost Analysis'!$C:$FO,108,FALSE)=0,"",VLOOKUP($B46,'[1]Cost Analysis'!$C:$FO,108,FALSE))</f>
        <v/>
      </c>
      <c r="BT46" s="7" t="str">
        <f>IF(VLOOKUP($B46,'[1]Cost Analysis'!$C:$FO,109,FALSE)=0,"",VLOOKUP($B46,'[1]Cost Analysis'!$C:$FO,109,FALSE))</f>
        <v/>
      </c>
      <c r="BU46" s="7" t="str">
        <f>IF(VLOOKUP($B46,'[1]Cost Analysis'!$C:$FO,110,FALSE)=0,"",VLOOKUP($B46,'[1]Cost Analysis'!$C:$FO,110,FALSE))</f>
        <v/>
      </c>
      <c r="BV46" s="7" t="str">
        <f>IF(VLOOKUP($B46,'[1]Cost Analysis'!$C:$FO,111,FALSE)=0,"",VLOOKUP($B46,'[1]Cost Analysis'!$C:$FO,111,FALSE))</f>
        <v/>
      </c>
      <c r="BW46" s="7" t="str">
        <f>IF(VLOOKUP($B46,'[1]Cost Analysis'!$C:$FO,112,FALSE)=0,"",VLOOKUP($B46,'[1]Cost Analysis'!$C:$FO,112,FALSE))</f>
        <v/>
      </c>
      <c r="BX46" s="7" t="str">
        <f>IF(VLOOKUP($B46,'[1]Cost Analysis'!$C:$FO,125,FALSE)=0,"",VLOOKUP($B46,'[1]Cost Analysis'!$C:$FO,125,FALSE))</f>
        <v/>
      </c>
      <c r="BY46" s="7" t="str">
        <f>IF(VLOOKUP($B46,'[1]Cost Analysis'!$C:$FO,126,FALSE)=0,"",VLOOKUP($B46,'[1]Cost Analysis'!$C:$FO,126,FALSE))</f>
        <v/>
      </c>
      <c r="BZ46" s="7" t="str">
        <f>IF(VLOOKUP($B46,'[1]Cost Analysis'!$C:$FO,127,FALSE)=0,"",VLOOKUP($B46,'[1]Cost Analysis'!$C:$FO,127,FALSE))</f>
        <v/>
      </c>
      <c r="CA46" s="7" t="str">
        <f>IF(VLOOKUP($B46,'[1]Cost Analysis'!$C:$FO,128,FALSE)=0,"",VLOOKUP($B46,'[1]Cost Analysis'!$C:$FO,128,FALSE))</f>
        <v/>
      </c>
      <c r="CB46" s="7" t="str">
        <f>IF(VLOOKUP($B46,'[1]Cost Analysis'!$C:$FO,129,FALSE)=0,"",VLOOKUP($B46,'[1]Cost Analysis'!$C:$FO,129,FALSE))</f>
        <v/>
      </c>
      <c r="CC46" s="7" t="str">
        <f>IF(VLOOKUP($B46,'[1]Cost Analysis'!$C:$FO,130,FALSE)=0,"",VLOOKUP($B46,'[1]Cost Analysis'!$C:$FO,130,FALSE))</f>
        <v/>
      </c>
      <c r="CD46" s="7" t="str">
        <f>IF(VLOOKUP($B46,'[1]Cost Analysis'!$C:$FO,131,FALSE)=0,"",VLOOKUP($B46,'[1]Cost Analysis'!$C:$FO,131,FALSE))</f>
        <v/>
      </c>
      <c r="CE46" s="7" t="str">
        <f>IF(VLOOKUP($B46,'[1]Cost Analysis'!$C:$FO,132,FALSE)=0,"",VLOOKUP($B46,'[1]Cost Analysis'!$C:$FO,132,FALSE))</f>
        <v/>
      </c>
      <c r="CF46" s="7" t="str">
        <f>IF(VLOOKUP($B46,'[1]Cost Analysis'!$C:$FO,133,FALSE)=0,"",VLOOKUP($B46,'[1]Cost Analysis'!$C:$FO,133,FALSE))</f>
        <v/>
      </c>
      <c r="CG46" s="7" t="str">
        <f>IF(VLOOKUP($B46,'[1]Cost Analysis'!$C:$FO,134,FALSE)=0,"",VLOOKUP($B46,'[1]Cost Analysis'!$C:$FO,134,FALSE))</f>
        <v/>
      </c>
      <c r="CH46" s="7" t="str">
        <f>IF(VLOOKUP($B46,'[1]Cost Analysis'!$C:$FO,135,FALSE)=0,"",VLOOKUP($B46,'[1]Cost Analysis'!$C:$FO,135,FALSE))</f>
        <v/>
      </c>
      <c r="CI46" s="7" t="str">
        <f>IF(VLOOKUP($B46,'[1]Cost Analysis'!$C:$FO,136,FALSE)=0,"",VLOOKUP($B46,'[1]Cost Analysis'!$C:$FO,136,FALSE))</f>
        <v/>
      </c>
      <c r="CJ46" s="7" t="str">
        <f>IF(VLOOKUP($B46,'[1]Cost Analysis'!$C:$FO,137,FALSE)=0,"",VLOOKUP($B46,'[1]Cost Analysis'!$C:$FO,137,FALSE))</f>
        <v/>
      </c>
      <c r="CK46" s="7" t="str">
        <f>IF(VLOOKUP($B46,'[1]Cost Analysis'!$C:$FO,138,FALSE)=0,"",VLOOKUP($B46,'[1]Cost Analysis'!$C:$FO,138,FALSE))</f>
        <v/>
      </c>
      <c r="CL46" s="7" t="str">
        <f>IF(VLOOKUP($B46,'[1]Cost Analysis'!$C:$FO,139,FALSE)=0,"",VLOOKUP($B46,'[1]Cost Analysis'!$C:$FO,139,FALSE))</f>
        <v/>
      </c>
    </row>
    <row r="47" spans="1:90" ht="30" x14ac:dyDescent="0.25">
      <c r="A47" s="13" t="s">
        <v>1</v>
      </c>
      <c r="B47" s="20" t="s">
        <v>11</v>
      </c>
      <c r="C47" s="19" t="str">
        <f>VLOOKUP($B47,'[1]Cost Analysis'!$C:$FO,7,FALSE)</f>
        <v>Proposal</v>
      </c>
      <c r="D47" s="19" t="str">
        <f>VLOOKUP($B47,'[1]Cost Analysis'!$C:$FO,8,FALSE)</f>
        <v>Schematic Design</v>
      </c>
      <c r="E47" s="18">
        <f>IF(ISERROR(VLOOKUP($B47,'[1]Cost Analysis'!$C:$FO,9,FALSE)),"",VLOOKUP($B47,'[1]Cost Analysis'!$C:$FO,9,FALSE))</f>
        <v>13700000</v>
      </c>
      <c r="F47" s="17">
        <f>IF(ISERROR(VLOOKUP($B47,'[1]Cost Analysis'!$C:$FO,10,FALSE)),"",VLOOKUP($B47,'[1]Cost Analysis'!$C:$FO,10,FALSE))</f>
        <v>159.13024287688896</v>
      </c>
      <c r="G47" s="9">
        <f>IF(ISERROR(VLOOKUP($B47,'[1]Cost Analysis'!$C:$FO,12,FALSE)),"",VLOOKUP($B47,'[1]Cost Analysis'!$C:$FO,12,FALSE))</f>
        <v>0</v>
      </c>
      <c r="H47" s="17">
        <f>IF(ISERROR(VLOOKUP($B47,'[1]Cost Analysis'!$C:$FO,13,FALSE)),"",VLOOKUP($B47,'[1]Cost Analysis'!$C:$FO,13,FALSE))</f>
        <v>0</v>
      </c>
      <c r="I47" s="16">
        <f>IF(ISERROR(VLOOKUP($B47,'[1]Cost Analysis'!$C:$FO,14,FALSE)),"",VLOOKUP($B47,'[1]Cost Analysis'!$C:$FO,14,FALSE))</f>
        <v>0</v>
      </c>
      <c r="J47" s="18">
        <f>IF(ISERROR(VLOOKUP($B47,'[1]Cost Analysis'!$C:$FO,15,FALSE)),"",VLOOKUP($B47,'[1]Cost Analysis'!$C:$FO,15,FALSE))</f>
        <v>1604000</v>
      </c>
      <c r="K47" s="16">
        <f>IF(ISERROR(VLOOKUP($B47,'[1]Cost Analysis'!$C:$FO,16,FALSE)),"",VLOOKUP($B47,'[1]Cost Analysis'!$C:$FO,16,FALSE))</f>
        <v>0.11708029197080291</v>
      </c>
      <c r="L47" s="17">
        <f>IF(ISERROR(VLOOKUP($B47,'[1]Cost Analysis'!$C:$FO,17,FALSE)),"",VLOOKUP($B47,'[1]Cost Analysis'!$C:$FO,17,FALSE))</f>
        <v>0</v>
      </c>
      <c r="M47" s="17">
        <f>IF(ISERROR(VLOOKUP($B47,'[1]Cost Analysis'!$C:$FO,18,FALSE)),"",VLOOKUP($B47,'[1]Cost Analysis'!$C:$FO,18,FALSE))</f>
        <v>0</v>
      </c>
      <c r="N47" s="16">
        <f>IF(ISERROR(VLOOKUP($B47,'[1]Cost Analysis'!$C:$FO,19,FALSE)),"",VLOOKUP($B47,'[1]Cost Analysis'!$C:$FO,19,FALSE))</f>
        <v>0</v>
      </c>
      <c r="O47" s="11">
        <f>IF(ISERROR(VLOOKUP($B47,'[1]Cost Analysis'!$C:$FO,36,FALSE)),"",VLOOKUP($B47,'[1]Cost Analysis'!$C:$FO,36,FALSE))</f>
        <v>1004500</v>
      </c>
      <c r="P47" s="13" t="str">
        <f>IF(ISERROR(VLOOKUP($B47,'[1]Cost Analysis'!$C:$FO,37,FALSE)),"",VLOOKUP($B47,'[1]Cost Analysis'!$C:$FO,37,FALSE))</f>
        <v xml:space="preserve">Solar PV onsite owned </v>
      </c>
      <c r="Q47" s="11">
        <f>VLOOKUP($B47,'[1]Cost Analysis'!$C:$FO,39,FALSE)</f>
        <v>86093</v>
      </c>
      <c r="R47" s="11">
        <f>VLOOKUP($B47,'[1]Cost Analysis'!$C:$FO,40,FALSE)</f>
        <v>86093</v>
      </c>
      <c r="S47" s="13">
        <f>VLOOKUP($B47,'[1]Cost Analysis'!$C:$FO,41,FALSE)</f>
        <v>6</v>
      </c>
      <c r="T47" s="13">
        <f>VLOOKUP($B47,'[1]Cost Analysis'!$C:$FO,42,FALSE)</f>
        <v>3</v>
      </c>
      <c r="U47" s="13">
        <f>VLOOKUP($B47,'[1]Cost Analysis'!$C:$FO,43,FALSE)</f>
        <v>84</v>
      </c>
      <c r="V47" s="13" t="str">
        <f>VLOOKUP($B47,'[1]Cost Analysis'!$C:$FO,44,FALSE)</f>
        <v>Phius</v>
      </c>
      <c r="W47" s="13" t="str">
        <f>VLOOKUP($B47,'[1]Cost Analysis'!$C:$FO,45,FALSE)</f>
        <v>Mohawk Valley</v>
      </c>
      <c r="X47" s="15" t="str">
        <f>VLOOKUP($B47,'[1]Cost Analysis'!$C:$FO,46,FALSE)</f>
        <v>All Electric</v>
      </c>
      <c r="Y47" s="14" t="str">
        <f>VLOOKUP($B47,'[1]Cost Analysis'!$C:$FO,47,FALSE)</f>
        <v>Market Rate</v>
      </c>
      <c r="Z47" s="13" t="str">
        <f>VLOOKUP($B47,'[1]Cost Analysis'!$C:$FO,48,FALSE)</f>
        <v>Yes</v>
      </c>
      <c r="AA47" s="13" t="str">
        <f>VLOOKUP($B47,'[1]Cost Analysis'!$C:$FO,49,FALSE)</f>
        <v>Wood Frame</v>
      </c>
      <c r="AB47" s="13" t="str">
        <f>VLOOKUP($B47,'[1]Cost Analysis'!$C:$FO,50,FALSE)</f>
        <v>Minisplit - ASHP</v>
      </c>
      <c r="AC47" s="13" t="str">
        <f>VLOOKUP($B47,'[1]Cost Analysis'!$C:$FO,51,FALSE)</f>
        <v>ERV</v>
      </c>
      <c r="AD47" s="13" t="str">
        <f>VLOOKUP($B47,'[1]Cost Analysis'!$C:$FO,52,FALSE)</f>
        <v>ASHP</v>
      </c>
      <c r="AE47" s="13" t="str">
        <f>VLOOKUP($B47,'[1]Cost Analysis'!$C:$FO,53,FALSE)</f>
        <v>Yes</v>
      </c>
      <c r="AF47" s="13" t="str">
        <f>VLOOKUP($B47,'[1]Cost Analysis'!$C:$FO,54,FALSE)</f>
        <v>Low Rise</v>
      </c>
      <c r="AG47" s="13" t="str">
        <f>IF(VLOOKUP($B47,'[1]Cost Analysis'!$C:$FO,55,FALSE)="PV","Yes","No")</f>
        <v>Yes</v>
      </c>
      <c r="AH47" s="13" t="str">
        <f>VLOOKUP($B47,'[1]Cost Analysis'!$C:$FO,57,FALSE)</f>
        <v>Yes</v>
      </c>
      <c r="AI47" s="13" t="str">
        <f>VLOOKUP($B47,'[1]Cost Analysis'!$C:$FO,58,FALSE)</f>
        <v>No</v>
      </c>
      <c r="AJ47" s="13" t="str">
        <f>VLOOKUP($B47,'[1]Cost Analysis'!$C:$FO,59,FALSE)</f>
        <v>No</v>
      </c>
      <c r="AK47" s="13">
        <f>VLOOKUP($B47,'[1]Cost Analysis'!$C:$FO,60,FALSE)</f>
        <v>6</v>
      </c>
      <c r="AL47" s="13" t="str">
        <f>VLOOKUP($B47,'[1]Cost Analysis'!$C:$FO,61,FALSE)</f>
        <v>No</v>
      </c>
      <c r="AM47" s="13">
        <f>VLOOKUP($B47,'[1]Cost Analysis'!$C:$FO,62,FALSE)</f>
        <v>0</v>
      </c>
      <c r="AN47" s="12" t="str">
        <f>VLOOKUP($B47,'[1]Cost Analysis'!$C:$FO,63,FALSE)</f>
        <v>2020 ECCC NYS</v>
      </c>
      <c r="AO47" s="12">
        <f>VLOOKUP($B47,'[1]Cost Analysis'!$C:$FO,67,FALSE)</f>
        <v>0</v>
      </c>
      <c r="AP47" s="12">
        <f>VLOOKUP($B47,'[1]Cost Analysis'!$C:$FO,69,FALSE)</f>
        <v>0</v>
      </c>
      <c r="AQ47" s="11">
        <f>VLOOKUP($B47,'[1]Cost Analysis'!$C:$FO,74,FALSE)</f>
        <v>0</v>
      </c>
      <c r="AR47" s="11">
        <f>VLOOKUP($B47,'[1]Cost Analysis'!$C:$FO,75,FALSE)</f>
        <v>0</v>
      </c>
      <c r="AS47" s="10">
        <f>IF(ISERROR(VLOOKUP($B47,'[1]Cost Analysis'!$C:$FO,76,FALSE)),"",VLOOKUP($B47,'[1]Cost Analysis'!$C:$FO,76,FALSE))</f>
        <v>0</v>
      </c>
      <c r="AT47" s="9">
        <f>VLOOKUP($B47,'[1]Cost Analysis'!$C:$FO,78,FALSE)</f>
        <v>0</v>
      </c>
      <c r="AU47" s="9">
        <f>VLOOKUP($B47,'[1]Cost Analysis'!$C:$FO,82,FALSE)</f>
        <v>0</v>
      </c>
      <c r="AV47" s="8">
        <f>VLOOKUP($B47,'[1]Cost Analysis'!$C:$FO,83,FALSE)</f>
        <v>0</v>
      </c>
      <c r="AW47" s="7" t="str">
        <f>IF(VLOOKUP($B47,'[1]Cost Analysis'!$C:$FO,86,FALSE)=0,"",VLOOKUP($B47,'[1]Cost Analysis'!$C:$FO,86,FALSE))</f>
        <v/>
      </c>
      <c r="AX47" s="7" t="str">
        <f>IF(VLOOKUP($B47,'[1]Cost Analysis'!$C:$FO,87,FALSE)=0,"",VLOOKUP($B47,'[1]Cost Analysis'!$C:$FO,87,FALSE))</f>
        <v/>
      </c>
      <c r="AY47" s="7" t="str">
        <f>IF(VLOOKUP($B47,'[1]Cost Analysis'!$C:$FO,88,FALSE)=0,"",VLOOKUP($B47,'[1]Cost Analysis'!$C:$FO,88,FALSE))</f>
        <v/>
      </c>
      <c r="AZ47" s="7" t="str">
        <f>IF(VLOOKUP($B47,'[1]Cost Analysis'!$C:$FO,89,FALSE)=0,"",VLOOKUP($B47,'[1]Cost Analysis'!$C:$FO,89,FALSE))</f>
        <v/>
      </c>
      <c r="BA47" s="7" t="str">
        <f>IF(VLOOKUP($B47,'[1]Cost Analysis'!$C:$FO,90,FALSE)=0,"",VLOOKUP($B47,'[1]Cost Analysis'!$C:$FO,90,FALSE))</f>
        <v/>
      </c>
      <c r="BB47" s="7" t="str">
        <f>IF(VLOOKUP($B47,'[1]Cost Analysis'!$C:$FO,91,FALSE)=0,"",VLOOKUP($B47,'[1]Cost Analysis'!$C:$FO,91,FALSE))</f>
        <v/>
      </c>
      <c r="BC47" s="7" t="str">
        <f>IF(VLOOKUP($B47,'[1]Cost Analysis'!$C:$FO,92,FALSE)=0,"",VLOOKUP($B47,'[1]Cost Analysis'!$C:$FO,92,FALSE))</f>
        <v/>
      </c>
      <c r="BD47" s="7" t="str">
        <f>IF(VLOOKUP($B47,'[1]Cost Analysis'!$C:$FO,93,FALSE)=0,"",VLOOKUP($B47,'[1]Cost Analysis'!$C:$FO,93,FALSE))</f>
        <v/>
      </c>
      <c r="BE47" s="7" t="str">
        <f>IF(VLOOKUP($B47,'[1]Cost Analysis'!$C:$FO,94,FALSE)=0,"",VLOOKUP($B47,'[1]Cost Analysis'!$C:$FO,94,FALSE))</f>
        <v/>
      </c>
      <c r="BF47" s="7" t="str">
        <f>IF(VLOOKUP($B47,'[1]Cost Analysis'!$C:$FO,95,FALSE)=0,"",VLOOKUP($B47,'[1]Cost Analysis'!$C:$FO,95,FALSE))</f>
        <v/>
      </c>
      <c r="BG47" s="7" t="str">
        <f>IF(VLOOKUP($B47,'[1]Cost Analysis'!$C:$FO,96,FALSE)=0,"",VLOOKUP($B47,'[1]Cost Analysis'!$C:$FO,96,FALSE))</f>
        <v/>
      </c>
      <c r="BH47" s="7" t="str">
        <f>IF(VLOOKUP($B47,'[1]Cost Analysis'!$C:$FO,97,FALSE)=0,"",VLOOKUP($B47,'[1]Cost Analysis'!$C:$FO,97,FALSE))</f>
        <v/>
      </c>
      <c r="BI47" s="7" t="str">
        <f>IF(VLOOKUP($B47,'[1]Cost Analysis'!$C:$FO,98,FALSE)=0,"",VLOOKUP($B47,'[1]Cost Analysis'!$C:$FO,98,FALSE))</f>
        <v/>
      </c>
      <c r="BJ47" s="7" t="str">
        <f>IF(VLOOKUP($B47,'[1]Cost Analysis'!$C:$FO,99,FALSE)=0,"",VLOOKUP($B47,'[1]Cost Analysis'!$C:$FO,99,FALSE))</f>
        <v/>
      </c>
      <c r="BK47" s="7" t="str">
        <f>IF(VLOOKUP($B47,'[1]Cost Analysis'!$C:$FO,100,FALSE)=0,"",VLOOKUP($B47,'[1]Cost Analysis'!$C:$FO,100,FALSE))</f>
        <v/>
      </c>
      <c r="BL47" s="7" t="str">
        <f>IF(VLOOKUP($B47,'[1]Cost Analysis'!$C:$FO,101,FALSE)=0,"",VLOOKUP($B47,'[1]Cost Analysis'!$C:$FO,101,FALSE))</f>
        <v/>
      </c>
      <c r="BM47" s="7" t="str">
        <f>IF(VLOOKUP($B47,'[1]Cost Analysis'!$C:$FO,102,FALSE)=0,"",VLOOKUP($B47,'[1]Cost Analysis'!$C:$FO,102,FALSE))</f>
        <v/>
      </c>
      <c r="BN47" s="7" t="str">
        <f>IF(VLOOKUP($B47,'[1]Cost Analysis'!$C:$FO,103,FALSE)=0,"",VLOOKUP($B47,'[1]Cost Analysis'!$C:$FO,103,FALSE))</f>
        <v/>
      </c>
      <c r="BO47" s="7" t="str">
        <f>IF(VLOOKUP($B47,'[1]Cost Analysis'!$C:$FO,104,FALSE)=0,"",VLOOKUP($B47,'[1]Cost Analysis'!$C:$FO,104,FALSE))</f>
        <v/>
      </c>
      <c r="BP47" s="7" t="str">
        <f>IF(VLOOKUP($B47,'[1]Cost Analysis'!$C:$FO,105,FALSE)=0,"",VLOOKUP($B47,'[1]Cost Analysis'!$C:$FO,105,FALSE))</f>
        <v/>
      </c>
      <c r="BQ47" s="7" t="str">
        <f>IF(VLOOKUP($B47,'[1]Cost Analysis'!$C:$FO,106,FALSE)=0,"",VLOOKUP($B47,'[1]Cost Analysis'!$C:$FO,106,FALSE))</f>
        <v/>
      </c>
      <c r="BR47" s="7" t="str">
        <f>IF(VLOOKUP($B47,'[1]Cost Analysis'!$C:$FO,107,FALSE)=0,"",VLOOKUP($B47,'[1]Cost Analysis'!$C:$FO,107,FALSE))</f>
        <v/>
      </c>
      <c r="BS47" s="7" t="str">
        <f>IF(VLOOKUP($B47,'[1]Cost Analysis'!$C:$FO,108,FALSE)=0,"",VLOOKUP($B47,'[1]Cost Analysis'!$C:$FO,108,FALSE))</f>
        <v/>
      </c>
      <c r="BT47" s="7" t="str">
        <f>IF(VLOOKUP($B47,'[1]Cost Analysis'!$C:$FO,109,FALSE)=0,"",VLOOKUP($B47,'[1]Cost Analysis'!$C:$FO,109,FALSE))</f>
        <v/>
      </c>
      <c r="BU47" s="7" t="str">
        <f>IF(VLOOKUP($B47,'[1]Cost Analysis'!$C:$FO,110,FALSE)=0,"",VLOOKUP($B47,'[1]Cost Analysis'!$C:$FO,110,FALSE))</f>
        <v/>
      </c>
      <c r="BV47" s="7" t="str">
        <f>IF(VLOOKUP($B47,'[1]Cost Analysis'!$C:$FO,111,FALSE)=0,"",VLOOKUP($B47,'[1]Cost Analysis'!$C:$FO,111,FALSE))</f>
        <v/>
      </c>
      <c r="BW47" s="7" t="str">
        <f>IF(VLOOKUP($B47,'[1]Cost Analysis'!$C:$FO,112,FALSE)=0,"",VLOOKUP($B47,'[1]Cost Analysis'!$C:$FO,112,FALSE))</f>
        <v/>
      </c>
      <c r="BX47" s="7" t="str">
        <f>IF(VLOOKUP($B47,'[1]Cost Analysis'!$C:$FO,125,FALSE)=0,"",VLOOKUP($B47,'[1]Cost Analysis'!$C:$FO,125,FALSE))</f>
        <v/>
      </c>
      <c r="BY47" s="7" t="str">
        <f>IF(VLOOKUP($B47,'[1]Cost Analysis'!$C:$FO,126,FALSE)=0,"",VLOOKUP($B47,'[1]Cost Analysis'!$C:$FO,126,FALSE))</f>
        <v/>
      </c>
      <c r="BZ47" s="7" t="str">
        <f>IF(VLOOKUP($B47,'[1]Cost Analysis'!$C:$FO,127,FALSE)=0,"",VLOOKUP($B47,'[1]Cost Analysis'!$C:$FO,127,FALSE))</f>
        <v/>
      </c>
      <c r="CA47" s="7" t="str">
        <f>IF(VLOOKUP($B47,'[1]Cost Analysis'!$C:$FO,128,FALSE)=0,"",VLOOKUP($B47,'[1]Cost Analysis'!$C:$FO,128,FALSE))</f>
        <v/>
      </c>
      <c r="CB47" s="7" t="str">
        <f>IF(VLOOKUP($B47,'[1]Cost Analysis'!$C:$FO,129,FALSE)=0,"",VLOOKUP($B47,'[1]Cost Analysis'!$C:$FO,129,FALSE))</f>
        <v/>
      </c>
      <c r="CC47" s="7" t="str">
        <f>IF(VLOOKUP($B47,'[1]Cost Analysis'!$C:$FO,130,FALSE)=0,"",VLOOKUP($B47,'[1]Cost Analysis'!$C:$FO,130,FALSE))</f>
        <v/>
      </c>
      <c r="CD47" s="7" t="str">
        <f>IF(VLOOKUP($B47,'[1]Cost Analysis'!$C:$FO,131,FALSE)=0,"",VLOOKUP($B47,'[1]Cost Analysis'!$C:$FO,131,FALSE))</f>
        <v/>
      </c>
      <c r="CE47" s="7" t="str">
        <f>IF(VLOOKUP($B47,'[1]Cost Analysis'!$C:$FO,132,FALSE)=0,"",VLOOKUP($B47,'[1]Cost Analysis'!$C:$FO,132,FALSE))</f>
        <v/>
      </c>
      <c r="CF47" s="7" t="str">
        <f>IF(VLOOKUP($B47,'[1]Cost Analysis'!$C:$FO,133,FALSE)=0,"",VLOOKUP($B47,'[1]Cost Analysis'!$C:$FO,133,FALSE))</f>
        <v/>
      </c>
      <c r="CG47" s="7" t="str">
        <f>IF(VLOOKUP($B47,'[1]Cost Analysis'!$C:$FO,134,FALSE)=0,"",VLOOKUP($B47,'[1]Cost Analysis'!$C:$FO,134,FALSE))</f>
        <v/>
      </c>
      <c r="CH47" s="7" t="str">
        <f>IF(VLOOKUP($B47,'[1]Cost Analysis'!$C:$FO,135,FALSE)=0,"",VLOOKUP($B47,'[1]Cost Analysis'!$C:$FO,135,FALSE))</f>
        <v/>
      </c>
      <c r="CI47" s="7" t="str">
        <f>IF(VLOOKUP($B47,'[1]Cost Analysis'!$C:$FO,136,FALSE)=0,"",VLOOKUP($B47,'[1]Cost Analysis'!$C:$FO,136,FALSE))</f>
        <v/>
      </c>
      <c r="CJ47" s="7" t="str">
        <f>IF(VLOOKUP($B47,'[1]Cost Analysis'!$C:$FO,137,FALSE)=0,"",VLOOKUP($B47,'[1]Cost Analysis'!$C:$FO,137,FALSE))</f>
        <v/>
      </c>
      <c r="CK47" s="7" t="str">
        <f>IF(VLOOKUP($B47,'[1]Cost Analysis'!$C:$FO,138,FALSE)=0,"",VLOOKUP($B47,'[1]Cost Analysis'!$C:$FO,138,FALSE))</f>
        <v/>
      </c>
      <c r="CL47" s="7" t="str">
        <f>IF(VLOOKUP($B47,'[1]Cost Analysis'!$C:$FO,139,FALSE)=0,"",VLOOKUP($B47,'[1]Cost Analysis'!$C:$FO,139,FALSE))</f>
        <v/>
      </c>
    </row>
    <row r="48" spans="1:90" ht="30" x14ac:dyDescent="0.25">
      <c r="A48" s="13" t="s">
        <v>1</v>
      </c>
      <c r="B48" s="20" t="s">
        <v>10</v>
      </c>
      <c r="C48" s="19" t="str">
        <f>VLOOKUP($B48,'[1]Cost Analysis'!$C:$FO,7,FALSE)</f>
        <v>Proposal</v>
      </c>
      <c r="D48" s="19" t="str">
        <f>VLOOKUP($B48,'[1]Cost Analysis'!$C:$FO,8,FALSE)</f>
        <v>Schematic Design</v>
      </c>
      <c r="E48" s="18">
        <f>IF(ISERROR(VLOOKUP($B48,'[1]Cost Analysis'!$C:$FO,9,FALSE)),"",VLOOKUP($B48,'[1]Cost Analysis'!$C:$FO,9,FALSE))</f>
        <v>251033352</v>
      </c>
      <c r="F48" s="17">
        <f>IF(ISERROR(VLOOKUP($B48,'[1]Cost Analysis'!$C:$FO,10,FALSE)),"",VLOOKUP($B48,'[1]Cost Analysis'!$C:$FO,10,FALSE))</f>
        <v>628.28077165653872</v>
      </c>
      <c r="G48" s="9">
        <f>IF(ISERROR(VLOOKUP($B48,'[1]Cost Analysis'!$C:$FO,12,FALSE)),"",VLOOKUP($B48,'[1]Cost Analysis'!$C:$FO,12,FALSE))</f>
        <v>0</v>
      </c>
      <c r="H48" s="17">
        <f>IF(ISERROR(VLOOKUP($B48,'[1]Cost Analysis'!$C:$FO,13,FALSE)),"",VLOOKUP($B48,'[1]Cost Analysis'!$C:$FO,13,FALSE))</f>
        <v>0</v>
      </c>
      <c r="I48" s="16">
        <f>IF(ISERROR(VLOOKUP($B48,'[1]Cost Analysis'!$C:$FO,14,FALSE)),"",VLOOKUP($B48,'[1]Cost Analysis'!$C:$FO,14,FALSE))</f>
        <v>0</v>
      </c>
      <c r="J48" s="18">
        <f>IF(ISERROR(VLOOKUP($B48,'[1]Cost Analysis'!$C:$FO,15,FALSE)),"",VLOOKUP($B48,'[1]Cost Analysis'!$C:$FO,15,FALSE))</f>
        <v>1000000</v>
      </c>
      <c r="K48" s="16">
        <f>IF(ISERROR(VLOOKUP($B48,'[1]Cost Analysis'!$C:$FO,16,FALSE)),"",VLOOKUP($B48,'[1]Cost Analysis'!$C:$FO,16,FALSE))</f>
        <v>3.9835344269314463E-3</v>
      </c>
      <c r="L48" s="17">
        <f>IF(ISERROR(VLOOKUP($B48,'[1]Cost Analysis'!$C:$FO,17,FALSE)),"",VLOOKUP($B48,'[1]Cost Analysis'!$C:$FO,17,FALSE))</f>
        <v>0</v>
      </c>
      <c r="M48" s="17">
        <f>IF(ISERROR(VLOOKUP($B48,'[1]Cost Analysis'!$C:$FO,18,FALSE)),"",VLOOKUP($B48,'[1]Cost Analysis'!$C:$FO,18,FALSE))</f>
        <v>0</v>
      </c>
      <c r="N48" s="16">
        <f>IF(ISERROR(VLOOKUP($B48,'[1]Cost Analysis'!$C:$FO,19,FALSE)),"",VLOOKUP($B48,'[1]Cost Analysis'!$C:$FO,19,FALSE))</f>
        <v>0</v>
      </c>
      <c r="O48" s="11">
        <f>IF(ISERROR(VLOOKUP($B48,'[1]Cost Analysis'!$C:$FO,36,FALSE)),"",VLOOKUP($B48,'[1]Cost Analysis'!$C:$FO,36,FALSE))</f>
        <v>490000</v>
      </c>
      <c r="P48" s="13" t="str">
        <f>IF(ISERROR(VLOOKUP($B48,'[1]Cost Analysis'!$C:$FO,37,FALSE)),"",VLOOKUP($B48,'[1]Cost Analysis'!$C:$FO,37,FALSE))</f>
        <v xml:space="preserve">Solar PV onsite owned </v>
      </c>
      <c r="Q48" s="11">
        <f>VLOOKUP($B48,'[1]Cost Analysis'!$C:$FO,39,FALSE)</f>
        <v>399556</v>
      </c>
      <c r="R48" s="11">
        <f>VLOOKUP($B48,'[1]Cost Analysis'!$C:$FO,40,FALSE)</f>
        <v>230909</v>
      </c>
      <c r="S48" s="13">
        <f>VLOOKUP($B48,'[1]Cost Analysis'!$C:$FO,41,FALSE)</f>
        <v>1</v>
      </c>
      <c r="T48" s="13">
        <f>VLOOKUP($B48,'[1]Cost Analysis'!$C:$FO,42,FALSE)</f>
        <v>31</v>
      </c>
      <c r="U48" s="13">
        <f>VLOOKUP($B48,'[1]Cost Analysis'!$C:$FO,43,FALSE)</f>
        <v>286</v>
      </c>
      <c r="V48" s="13" t="str">
        <f>VLOOKUP($B48,'[1]Cost Analysis'!$C:$FO,44,FALSE)</f>
        <v>PHI</v>
      </c>
      <c r="W48" s="13" t="str">
        <f>VLOOKUP($B48,'[1]Cost Analysis'!$C:$FO,45,FALSE)</f>
        <v>NYC</v>
      </c>
      <c r="X48" s="15" t="str">
        <f>VLOOKUP($B48,'[1]Cost Analysis'!$C:$FO,46,FALSE)</f>
        <v>All Electric</v>
      </c>
      <c r="Y48" s="14" t="str">
        <f>VLOOKUP($B48,'[1]Cost Analysis'!$C:$FO,47,FALSE)</f>
        <v>LMI</v>
      </c>
      <c r="Z48" s="13" t="str">
        <f>VLOOKUP($B48,'[1]Cost Analysis'!$C:$FO,48,FALSE)</f>
        <v>Yes</v>
      </c>
      <c r="AA48" s="13" t="str">
        <f>VLOOKUP($B48,'[1]Cost Analysis'!$C:$FO,49,FALSE)</f>
        <v>Cast in Place Concrete/Panelized</v>
      </c>
      <c r="AB48" s="13" t="str">
        <f>VLOOKUP($B48,'[1]Cost Analysis'!$C:$FO,50,FALSE)</f>
        <v>VRF - ASHP</v>
      </c>
      <c r="AC48" s="13" t="str">
        <f>VLOOKUP($B48,'[1]Cost Analysis'!$C:$FO,51,FALSE)</f>
        <v>ERV</v>
      </c>
      <c r="AD48" s="13" t="str">
        <f>VLOOKUP($B48,'[1]Cost Analysis'!$C:$FO,52,FALSE)</f>
        <v>ASHP</v>
      </c>
      <c r="AE48" s="13" t="str">
        <f>VLOOKUP($B48,'[1]Cost Analysis'!$C:$FO,53,FALSE)</f>
        <v>Yes</v>
      </c>
      <c r="AF48" s="13" t="str">
        <f>VLOOKUP($B48,'[1]Cost Analysis'!$C:$FO,54,FALSE)</f>
        <v>High Rise</v>
      </c>
      <c r="AG48" s="13" t="str">
        <f>IF(VLOOKUP($B48,'[1]Cost Analysis'!$C:$FO,55,FALSE)="PV","Yes","No")</f>
        <v>Yes</v>
      </c>
      <c r="AH48" s="13" t="str">
        <f>VLOOKUP($B48,'[1]Cost Analysis'!$C:$FO,57,FALSE)</f>
        <v>Yes</v>
      </c>
      <c r="AI48" s="13" t="str">
        <f>VLOOKUP($B48,'[1]Cost Analysis'!$C:$FO,58,FALSE)</f>
        <v>No</v>
      </c>
      <c r="AJ48" s="13" t="str">
        <f>VLOOKUP($B48,'[1]Cost Analysis'!$C:$FO,59,FALSE)</f>
        <v>No</v>
      </c>
      <c r="AK48" s="13">
        <f>VLOOKUP($B48,'[1]Cost Analysis'!$C:$FO,60,FALSE)</f>
        <v>4</v>
      </c>
      <c r="AL48" s="13" t="str">
        <f>VLOOKUP($B48,'[1]Cost Analysis'!$C:$FO,61,FALSE)</f>
        <v>No</v>
      </c>
      <c r="AM48" s="13">
        <f>VLOOKUP($B48,'[1]Cost Analysis'!$C:$FO,62,FALSE)</f>
        <v>0</v>
      </c>
      <c r="AN48" s="12" t="str">
        <f>VLOOKUP($B48,'[1]Cost Analysis'!$C:$FO,63,FALSE)</f>
        <v>2020 ECCC NYS</v>
      </c>
      <c r="AO48" s="12">
        <f>VLOOKUP($B48,'[1]Cost Analysis'!$C:$FO,67,FALSE)</f>
        <v>0</v>
      </c>
      <c r="AP48" s="12">
        <f>VLOOKUP($B48,'[1]Cost Analysis'!$C:$FO,69,FALSE)</f>
        <v>0</v>
      </c>
      <c r="AQ48" s="11">
        <f>VLOOKUP($B48,'[1]Cost Analysis'!$C:$FO,74,FALSE)</f>
        <v>0</v>
      </c>
      <c r="AR48" s="11">
        <f>VLOOKUP($B48,'[1]Cost Analysis'!$C:$FO,75,FALSE)</f>
        <v>0</v>
      </c>
      <c r="AS48" s="10">
        <f>IF(ISERROR(VLOOKUP($B48,'[1]Cost Analysis'!$C:$FO,76,FALSE)),"",VLOOKUP($B48,'[1]Cost Analysis'!$C:$FO,76,FALSE))</f>
        <v>0</v>
      </c>
      <c r="AT48" s="9">
        <f>VLOOKUP($B48,'[1]Cost Analysis'!$C:$FO,78,FALSE)</f>
        <v>0</v>
      </c>
      <c r="AU48" s="9">
        <f>VLOOKUP($B48,'[1]Cost Analysis'!$C:$FO,82,FALSE)</f>
        <v>0</v>
      </c>
      <c r="AV48" s="8">
        <f>VLOOKUP($B48,'[1]Cost Analysis'!$C:$FO,83,FALSE)</f>
        <v>0</v>
      </c>
      <c r="AW48" s="7" t="str">
        <f>IF(VLOOKUP($B48,'[1]Cost Analysis'!$C:$FO,86,FALSE)=0,"",VLOOKUP($B48,'[1]Cost Analysis'!$C:$FO,86,FALSE))</f>
        <v/>
      </c>
      <c r="AX48" s="7" t="str">
        <f>IF(VLOOKUP($B48,'[1]Cost Analysis'!$C:$FO,87,FALSE)=0,"",VLOOKUP($B48,'[1]Cost Analysis'!$C:$FO,87,FALSE))</f>
        <v/>
      </c>
      <c r="AY48" s="7" t="str">
        <f>IF(VLOOKUP($B48,'[1]Cost Analysis'!$C:$FO,88,FALSE)=0,"",VLOOKUP($B48,'[1]Cost Analysis'!$C:$FO,88,FALSE))</f>
        <v/>
      </c>
      <c r="AZ48" s="7" t="str">
        <f>IF(VLOOKUP($B48,'[1]Cost Analysis'!$C:$FO,89,FALSE)=0,"",VLOOKUP($B48,'[1]Cost Analysis'!$C:$FO,89,FALSE))</f>
        <v/>
      </c>
      <c r="BA48" s="7" t="str">
        <f>IF(VLOOKUP($B48,'[1]Cost Analysis'!$C:$FO,90,FALSE)=0,"",VLOOKUP($B48,'[1]Cost Analysis'!$C:$FO,90,FALSE))</f>
        <v/>
      </c>
      <c r="BB48" s="7" t="str">
        <f>IF(VLOOKUP($B48,'[1]Cost Analysis'!$C:$FO,91,FALSE)=0,"",VLOOKUP($B48,'[1]Cost Analysis'!$C:$FO,91,FALSE))</f>
        <v/>
      </c>
      <c r="BC48" s="7" t="str">
        <f>IF(VLOOKUP($B48,'[1]Cost Analysis'!$C:$FO,92,FALSE)=0,"",VLOOKUP($B48,'[1]Cost Analysis'!$C:$FO,92,FALSE))</f>
        <v/>
      </c>
      <c r="BD48" s="7" t="str">
        <f>IF(VLOOKUP($B48,'[1]Cost Analysis'!$C:$FO,93,FALSE)=0,"",VLOOKUP($B48,'[1]Cost Analysis'!$C:$FO,93,FALSE))</f>
        <v/>
      </c>
      <c r="BE48" s="7" t="str">
        <f>IF(VLOOKUP($B48,'[1]Cost Analysis'!$C:$FO,94,FALSE)=0,"",VLOOKUP($B48,'[1]Cost Analysis'!$C:$FO,94,FALSE))</f>
        <v/>
      </c>
      <c r="BF48" s="7" t="str">
        <f>IF(VLOOKUP($B48,'[1]Cost Analysis'!$C:$FO,95,FALSE)=0,"",VLOOKUP($B48,'[1]Cost Analysis'!$C:$FO,95,FALSE))</f>
        <v/>
      </c>
      <c r="BG48" s="7" t="str">
        <f>IF(VLOOKUP($B48,'[1]Cost Analysis'!$C:$FO,96,FALSE)=0,"",VLOOKUP($B48,'[1]Cost Analysis'!$C:$FO,96,FALSE))</f>
        <v/>
      </c>
      <c r="BH48" s="7" t="str">
        <f>IF(VLOOKUP($B48,'[1]Cost Analysis'!$C:$FO,97,FALSE)=0,"",VLOOKUP($B48,'[1]Cost Analysis'!$C:$FO,97,FALSE))</f>
        <v/>
      </c>
      <c r="BI48" s="7" t="str">
        <f>IF(VLOOKUP($B48,'[1]Cost Analysis'!$C:$FO,98,FALSE)=0,"",VLOOKUP($B48,'[1]Cost Analysis'!$C:$FO,98,FALSE))</f>
        <v/>
      </c>
      <c r="BJ48" s="7" t="str">
        <f>IF(VLOOKUP($B48,'[1]Cost Analysis'!$C:$FO,99,FALSE)=0,"",VLOOKUP($B48,'[1]Cost Analysis'!$C:$FO,99,FALSE))</f>
        <v/>
      </c>
      <c r="BK48" s="7" t="str">
        <f>IF(VLOOKUP($B48,'[1]Cost Analysis'!$C:$FO,100,FALSE)=0,"",VLOOKUP($B48,'[1]Cost Analysis'!$C:$FO,100,FALSE))</f>
        <v/>
      </c>
      <c r="BL48" s="7" t="str">
        <f>IF(VLOOKUP($B48,'[1]Cost Analysis'!$C:$FO,101,FALSE)=0,"",VLOOKUP($B48,'[1]Cost Analysis'!$C:$FO,101,FALSE))</f>
        <v/>
      </c>
      <c r="BM48" s="7" t="str">
        <f>IF(VLOOKUP($B48,'[1]Cost Analysis'!$C:$FO,102,FALSE)=0,"",VLOOKUP($B48,'[1]Cost Analysis'!$C:$FO,102,FALSE))</f>
        <v/>
      </c>
      <c r="BN48" s="7" t="str">
        <f>IF(VLOOKUP($B48,'[1]Cost Analysis'!$C:$FO,103,FALSE)=0,"",VLOOKUP($B48,'[1]Cost Analysis'!$C:$FO,103,FALSE))</f>
        <v/>
      </c>
      <c r="BO48" s="7" t="str">
        <f>IF(VLOOKUP($B48,'[1]Cost Analysis'!$C:$FO,104,FALSE)=0,"",VLOOKUP($B48,'[1]Cost Analysis'!$C:$FO,104,FALSE))</f>
        <v/>
      </c>
      <c r="BP48" s="7" t="str">
        <f>IF(VLOOKUP($B48,'[1]Cost Analysis'!$C:$FO,105,FALSE)=0,"",VLOOKUP($B48,'[1]Cost Analysis'!$C:$FO,105,FALSE))</f>
        <v/>
      </c>
      <c r="BQ48" s="7" t="str">
        <f>IF(VLOOKUP($B48,'[1]Cost Analysis'!$C:$FO,106,FALSE)=0,"",VLOOKUP($B48,'[1]Cost Analysis'!$C:$FO,106,FALSE))</f>
        <v/>
      </c>
      <c r="BR48" s="7" t="str">
        <f>IF(VLOOKUP($B48,'[1]Cost Analysis'!$C:$FO,107,FALSE)=0,"",VLOOKUP($B48,'[1]Cost Analysis'!$C:$FO,107,FALSE))</f>
        <v/>
      </c>
      <c r="BS48" s="7" t="str">
        <f>IF(VLOOKUP($B48,'[1]Cost Analysis'!$C:$FO,108,FALSE)=0,"",VLOOKUP($B48,'[1]Cost Analysis'!$C:$FO,108,FALSE))</f>
        <v/>
      </c>
      <c r="BT48" s="7" t="str">
        <f>IF(VLOOKUP($B48,'[1]Cost Analysis'!$C:$FO,109,FALSE)=0,"",VLOOKUP($B48,'[1]Cost Analysis'!$C:$FO,109,FALSE))</f>
        <v/>
      </c>
      <c r="BU48" s="7" t="str">
        <f>IF(VLOOKUP($B48,'[1]Cost Analysis'!$C:$FO,110,FALSE)=0,"",VLOOKUP($B48,'[1]Cost Analysis'!$C:$FO,110,FALSE))</f>
        <v/>
      </c>
      <c r="BV48" s="7" t="str">
        <f>IF(VLOOKUP($B48,'[1]Cost Analysis'!$C:$FO,111,FALSE)=0,"",VLOOKUP($B48,'[1]Cost Analysis'!$C:$FO,111,FALSE))</f>
        <v/>
      </c>
      <c r="BW48" s="7" t="str">
        <f>IF(VLOOKUP($B48,'[1]Cost Analysis'!$C:$FO,112,FALSE)=0,"",VLOOKUP($B48,'[1]Cost Analysis'!$C:$FO,112,FALSE))</f>
        <v/>
      </c>
      <c r="BX48" s="7" t="str">
        <f>IF(VLOOKUP($B48,'[1]Cost Analysis'!$C:$FO,125,FALSE)=0,"",VLOOKUP($B48,'[1]Cost Analysis'!$C:$FO,125,FALSE))</f>
        <v/>
      </c>
      <c r="BY48" s="7" t="str">
        <f>IF(VLOOKUP($B48,'[1]Cost Analysis'!$C:$FO,126,FALSE)=0,"",VLOOKUP($B48,'[1]Cost Analysis'!$C:$FO,126,FALSE))</f>
        <v/>
      </c>
      <c r="BZ48" s="7" t="str">
        <f>IF(VLOOKUP($B48,'[1]Cost Analysis'!$C:$FO,127,FALSE)=0,"",VLOOKUP($B48,'[1]Cost Analysis'!$C:$FO,127,FALSE))</f>
        <v/>
      </c>
      <c r="CA48" s="7" t="str">
        <f>IF(VLOOKUP($B48,'[1]Cost Analysis'!$C:$FO,128,FALSE)=0,"",VLOOKUP($B48,'[1]Cost Analysis'!$C:$FO,128,FALSE))</f>
        <v/>
      </c>
      <c r="CB48" s="7" t="str">
        <f>IF(VLOOKUP($B48,'[1]Cost Analysis'!$C:$FO,129,FALSE)=0,"",VLOOKUP($B48,'[1]Cost Analysis'!$C:$FO,129,FALSE))</f>
        <v/>
      </c>
      <c r="CC48" s="7" t="str">
        <f>IF(VLOOKUP($B48,'[1]Cost Analysis'!$C:$FO,130,FALSE)=0,"",VLOOKUP($B48,'[1]Cost Analysis'!$C:$FO,130,FALSE))</f>
        <v/>
      </c>
      <c r="CD48" s="7" t="str">
        <f>IF(VLOOKUP($B48,'[1]Cost Analysis'!$C:$FO,131,FALSE)=0,"",VLOOKUP($B48,'[1]Cost Analysis'!$C:$FO,131,FALSE))</f>
        <v/>
      </c>
      <c r="CE48" s="7" t="str">
        <f>IF(VLOOKUP($B48,'[1]Cost Analysis'!$C:$FO,132,FALSE)=0,"",VLOOKUP($B48,'[1]Cost Analysis'!$C:$FO,132,FALSE))</f>
        <v/>
      </c>
      <c r="CF48" s="7" t="str">
        <f>IF(VLOOKUP($B48,'[1]Cost Analysis'!$C:$FO,133,FALSE)=0,"",VLOOKUP($B48,'[1]Cost Analysis'!$C:$FO,133,FALSE))</f>
        <v/>
      </c>
      <c r="CG48" s="7" t="str">
        <f>IF(VLOOKUP($B48,'[1]Cost Analysis'!$C:$FO,134,FALSE)=0,"",VLOOKUP($B48,'[1]Cost Analysis'!$C:$FO,134,FALSE))</f>
        <v/>
      </c>
      <c r="CH48" s="7" t="str">
        <f>IF(VLOOKUP($B48,'[1]Cost Analysis'!$C:$FO,135,FALSE)=0,"",VLOOKUP($B48,'[1]Cost Analysis'!$C:$FO,135,FALSE))</f>
        <v/>
      </c>
      <c r="CI48" s="7" t="str">
        <f>IF(VLOOKUP($B48,'[1]Cost Analysis'!$C:$FO,136,FALSE)=0,"",VLOOKUP($B48,'[1]Cost Analysis'!$C:$FO,136,FALSE))</f>
        <v/>
      </c>
      <c r="CJ48" s="7" t="str">
        <f>IF(VLOOKUP($B48,'[1]Cost Analysis'!$C:$FO,137,FALSE)=0,"",VLOOKUP($B48,'[1]Cost Analysis'!$C:$FO,137,FALSE))</f>
        <v/>
      </c>
      <c r="CK48" s="7" t="str">
        <f>IF(VLOOKUP($B48,'[1]Cost Analysis'!$C:$FO,138,FALSE)=0,"",VLOOKUP($B48,'[1]Cost Analysis'!$C:$FO,138,FALSE))</f>
        <v/>
      </c>
      <c r="CL48" s="7" t="str">
        <f>IF(VLOOKUP($B48,'[1]Cost Analysis'!$C:$FO,139,FALSE)=0,"",VLOOKUP($B48,'[1]Cost Analysis'!$C:$FO,139,FALSE))</f>
        <v/>
      </c>
    </row>
    <row r="49" spans="1:90" ht="30" x14ac:dyDescent="0.25">
      <c r="A49" s="13" t="s">
        <v>1</v>
      </c>
      <c r="B49" s="20" t="s">
        <v>9</v>
      </c>
      <c r="C49" s="19" t="str">
        <f>VLOOKUP($B49,'[1]Cost Analysis'!$C:$FO,7,FALSE)</f>
        <v>Proposal</v>
      </c>
      <c r="D49" s="19" t="str">
        <f>VLOOKUP($B49,'[1]Cost Analysis'!$C:$FO,8,FALSE)</f>
        <v>Schematic Design</v>
      </c>
      <c r="E49" s="18">
        <f>IF(ISERROR(VLOOKUP($B49,'[1]Cost Analysis'!$C:$FO,9,FALSE)),"",VLOOKUP($B49,'[1]Cost Analysis'!$C:$FO,9,FALSE))</f>
        <v>74834762</v>
      </c>
      <c r="F49" s="17">
        <f>IF(ISERROR(VLOOKUP($B49,'[1]Cost Analysis'!$C:$FO,10,FALSE)),"",VLOOKUP($B49,'[1]Cost Analysis'!$C:$FO,10,FALSE))</f>
        <v>566.07232980332833</v>
      </c>
      <c r="G49" s="9">
        <f>IF(ISERROR(VLOOKUP($B49,'[1]Cost Analysis'!$C:$FO,12,FALSE)),"",VLOOKUP($B49,'[1]Cost Analysis'!$C:$FO,12,FALSE))</f>
        <v>0</v>
      </c>
      <c r="H49" s="17">
        <f>IF(ISERROR(VLOOKUP($B49,'[1]Cost Analysis'!$C:$FO,13,FALSE)),"",VLOOKUP($B49,'[1]Cost Analysis'!$C:$FO,13,FALSE))</f>
        <v>0</v>
      </c>
      <c r="I49" s="16">
        <f>IF(ISERROR(VLOOKUP($B49,'[1]Cost Analysis'!$C:$FO,14,FALSE)),"",VLOOKUP($B49,'[1]Cost Analysis'!$C:$FO,14,FALSE))</f>
        <v>0</v>
      </c>
      <c r="J49" s="18">
        <f>IF(ISERROR(VLOOKUP($B49,'[1]Cost Analysis'!$C:$FO,15,FALSE)),"",VLOOKUP($B49,'[1]Cost Analysis'!$C:$FO,15,FALSE))</f>
        <v>3969360</v>
      </c>
      <c r="K49" s="16">
        <f>IF(ISERROR(VLOOKUP($B49,'[1]Cost Analysis'!$C:$FO,16,FALSE)),"",VLOOKUP($B49,'[1]Cost Analysis'!$C:$FO,16,FALSE))</f>
        <v>5.3041659970803408E-2</v>
      </c>
      <c r="L49" s="17">
        <f>IF(ISERROR(VLOOKUP($B49,'[1]Cost Analysis'!$C:$FO,17,FALSE)),"",VLOOKUP($B49,'[1]Cost Analysis'!$C:$FO,17,FALSE))</f>
        <v>0</v>
      </c>
      <c r="M49" s="17">
        <f>IF(ISERROR(VLOOKUP($B49,'[1]Cost Analysis'!$C:$FO,18,FALSE)),"",VLOOKUP($B49,'[1]Cost Analysis'!$C:$FO,18,FALSE))</f>
        <v>0</v>
      </c>
      <c r="N49" s="16">
        <f>IF(ISERROR(VLOOKUP($B49,'[1]Cost Analysis'!$C:$FO,19,FALSE)),"",VLOOKUP($B49,'[1]Cost Analysis'!$C:$FO,19,FALSE))</f>
        <v>0</v>
      </c>
      <c r="O49" s="11">
        <f>IF(ISERROR(VLOOKUP($B49,'[1]Cost Analysis'!$C:$FO,36,FALSE)),"",VLOOKUP($B49,'[1]Cost Analysis'!$C:$FO,36,FALSE))</f>
        <v>436754</v>
      </c>
      <c r="P49" s="13" t="str">
        <f>IF(ISERROR(VLOOKUP($B49,'[1]Cost Analysis'!$C:$FO,37,FALSE)),"",VLOOKUP($B49,'[1]Cost Analysis'!$C:$FO,37,FALSE))</f>
        <v xml:space="preserve">Solar PV onsite owned </v>
      </c>
      <c r="Q49" s="11">
        <f>VLOOKUP($B49,'[1]Cost Analysis'!$C:$FO,39,FALSE)</f>
        <v>132200</v>
      </c>
      <c r="R49" s="11">
        <f>VLOOKUP($B49,'[1]Cost Analysis'!$C:$FO,40,FALSE)</f>
        <v>121700</v>
      </c>
      <c r="S49" s="13">
        <f>VLOOKUP($B49,'[1]Cost Analysis'!$C:$FO,41,FALSE)</f>
        <v>1</v>
      </c>
      <c r="T49" s="13">
        <f>VLOOKUP($B49,'[1]Cost Analysis'!$C:$FO,42,FALSE)</f>
        <v>12</v>
      </c>
      <c r="U49" s="13">
        <f>VLOOKUP($B49,'[1]Cost Analysis'!$C:$FO,43,FALSE)</f>
        <v>135</v>
      </c>
      <c r="V49" s="13" t="str">
        <f>VLOOKUP($B49,'[1]Cost Analysis'!$C:$FO,44,FALSE)</f>
        <v>PHI</v>
      </c>
      <c r="W49" s="13" t="str">
        <f>VLOOKUP($B49,'[1]Cost Analysis'!$C:$FO,45,FALSE)</f>
        <v>NYC</v>
      </c>
      <c r="X49" s="15" t="str">
        <f>VLOOKUP($B49,'[1]Cost Analysis'!$C:$FO,46,FALSE)</f>
        <v>All Electric</v>
      </c>
      <c r="Y49" s="14" t="str">
        <f>VLOOKUP($B49,'[1]Cost Analysis'!$C:$FO,47,FALSE)</f>
        <v>LMI</v>
      </c>
      <c r="Z49" s="13" t="str">
        <f>VLOOKUP($B49,'[1]Cost Analysis'!$C:$FO,48,FALSE)</f>
        <v>Yes</v>
      </c>
      <c r="AA49" s="13" t="str">
        <f>VLOOKUP($B49,'[1]Cost Analysis'!$C:$FO,49,FALSE)</f>
        <v>Cast in Place Concrete</v>
      </c>
      <c r="AB49" s="13" t="str">
        <f>VLOOKUP($B49,'[1]Cost Analysis'!$C:$FO,50,FALSE)</f>
        <v>VRF - ASHP Central System</v>
      </c>
      <c r="AC49" s="13" t="str">
        <f>VLOOKUP($B49,'[1]Cost Analysis'!$C:$FO,51,FALSE)</f>
        <v>ERV</v>
      </c>
      <c r="AD49" s="13" t="str">
        <f>VLOOKUP($B49,'[1]Cost Analysis'!$C:$FO,52,FALSE)</f>
        <v>ASHP</v>
      </c>
      <c r="AE49" s="13" t="str">
        <f>VLOOKUP($B49,'[1]Cost Analysis'!$C:$FO,53,FALSE)</f>
        <v>Yes</v>
      </c>
      <c r="AF49" s="13" t="str">
        <f>VLOOKUP($B49,'[1]Cost Analysis'!$C:$FO,54,FALSE)</f>
        <v>Mid Rise</v>
      </c>
      <c r="AG49" s="13" t="str">
        <f>IF(VLOOKUP($B49,'[1]Cost Analysis'!$C:$FO,55,FALSE)="PV","Yes","No")</f>
        <v>Yes</v>
      </c>
      <c r="AH49" s="13" t="str">
        <f>VLOOKUP($B49,'[1]Cost Analysis'!$C:$FO,57,FALSE)</f>
        <v>No</v>
      </c>
      <c r="AI49" s="13" t="str">
        <f>VLOOKUP($B49,'[1]Cost Analysis'!$C:$FO,58,FALSE)</f>
        <v>No</v>
      </c>
      <c r="AJ49" s="13" t="str">
        <f>VLOOKUP($B49,'[1]Cost Analysis'!$C:$FO,59,FALSE)</f>
        <v>No</v>
      </c>
      <c r="AK49" s="13">
        <f>VLOOKUP($B49,'[1]Cost Analysis'!$C:$FO,60,FALSE)</f>
        <v>4</v>
      </c>
      <c r="AL49" s="13" t="str">
        <f>VLOOKUP($B49,'[1]Cost Analysis'!$C:$FO,61,FALSE)</f>
        <v>No</v>
      </c>
      <c r="AM49" s="13">
        <f>VLOOKUP($B49,'[1]Cost Analysis'!$C:$FO,62,FALSE)</f>
        <v>0</v>
      </c>
      <c r="AN49" s="12" t="str">
        <f>VLOOKUP($B49,'[1]Cost Analysis'!$C:$FO,63,FALSE)</f>
        <v>2020 ECCC NYS</v>
      </c>
      <c r="AO49" s="12">
        <f>VLOOKUP($B49,'[1]Cost Analysis'!$C:$FO,67,FALSE)</f>
        <v>0</v>
      </c>
      <c r="AP49" s="12">
        <f>VLOOKUP($B49,'[1]Cost Analysis'!$C:$FO,69,FALSE)</f>
        <v>0</v>
      </c>
      <c r="AQ49" s="11">
        <f>VLOOKUP($B49,'[1]Cost Analysis'!$C:$FO,74,FALSE)</f>
        <v>0</v>
      </c>
      <c r="AR49" s="11">
        <f>VLOOKUP($B49,'[1]Cost Analysis'!$C:$FO,75,FALSE)</f>
        <v>0</v>
      </c>
      <c r="AS49" s="10">
        <f>IF(ISERROR(VLOOKUP($B49,'[1]Cost Analysis'!$C:$FO,76,FALSE)),"",VLOOKUP($B49,'[1]Cost Analysis'!$C:$FO,76,FALSE))</f>
        <v>0</v>
      </c>
      <c r="AT49" s="9">
        <f>VLOOKUP($B49,'[1]Cost Analysis'!$C:$FO,78,FALSE)</f>
        <v>0</v>
      </c>
      <c r="AU49" s="9">
        <f>VLOOKUP($B49,'[1]Cost Analysis'!$C:$FO,82,FALSE)</f>
        <v>0</v>
      </c>
      <c r="AV49" s="8">
        <f>VLOOKUP($B49,'[1]Cost Analysis'!$C:$FO,83,FALSE)</f>
        <v>0</v>
      </c>
      <c r="AW49" s="7" t="str">
        <f>IF(VLOOKUP($B49,'[1]Cost Analysis'!$C:$FO,86,FALSE)=0,"",VLOOKUP($B49,'[1]Cost Analysis'!$C:$FO,86,FALSE))</f>
        <v/>
      </c>
      <c r="AX49" s="7" t="str">
        <f>IF(VLOOKUP($B49,'[1]Cost Analysis'!$C:$FO,87,FALSE)=0,"",VLOOKUP($B49,'[1]Cost Analysis'!$C:$FO,87,FALSE))</f>
        <v/>
      </c>
      <c r="AY49" s="7" t="str">
        <f>IF(VLOOKUP($B49,'[1]Cost Analysis'!$C:$FO,88,FALSE)=0,"",VLOOKUP($B49,'[1]Cost Analysis'!$C:$FO,88,FALSE))</f>
        <v/>
      </c>
      <c r="AZ49" s="7" t="str">
        <f>IF(VLOOKUP($B49,'[1]Cost Analysis'!$C:$FO,89,FALSE)=0,"",VLOOKUP($B49,'[1]Cost Analysis'!$C:$FO,89,FALSE))</f>
        <v/>
      </c>
      <c r="BA49" s="7" t="str">
        <f>IF(VLOOKUP($B49,'[1]Cost Analysis'!$C:$FO,90,FALSE)=0,"",VLOOKUP($B49,'[1]Cost Analysis'!$C:$FO,90,FALSE))</f>
        <v/>
      </c>
      <c r="BB49" s="7" t="str">
        <f>IF(VLOOKUP($B49,'[1]Cost Analysis'!$C:$FO,91,FALSE)=0,"",VLOOKUP($B49,'[1]Cost Analysis'!$C:$FO,91,FALSE))</f>
        <v/>
      </c>
      <c r="BC49" s="7" t="str">
        <f>IF(VLOOKUP($B49,'[1]Cost Analysis'!$C:$FO,92,FALSE)=0,"",VLOOKUP($B49,'[1]Cost Analysis'!$C:$FO,92,FALSE))</f>
        <v/>
      </c>
      <c r="BD49" s="7" t="str">
        <f>IF(VLOOKUP($B49,'[1]Cost Analysis'!$C:$FO,93,FALSE)=0,"",VLOOKUP($B49,'[1]Cost Analysis'!$C:$FO,93,FALSE))</f>
        <v/>
      </c>
      <c r="BE49" s="7" t="str">
        <f>IF(VLOOKUP($B49,'[1]Cost Analysis'!$C:$FO,94,FALSE)=0,"",VLOOKUP($B49,'[1]Cost Analysis'!$C:$FO,94,FALSE))</f>
        <v/>
      </c>
      <c r="BF49" s="7" t="str">
        <f>IF(VLOOKUP($B49,'[1]Cost Analysis'!$C:$FO,95,FALSE)=0,"",VLOOKUP($B49,'[1]Cost Analysis'!$C:$FO,95,FALSE))</f>
        <v/>
      </c>
      <c r="BG49" s="7" t="str">
        <f>IF(VLOOKUP($B49,'[1]Cost Analysis'!$C:$FO,96,FALSE)=0,"",VLOOKUP($B49,'[1]Cost Analysis'!$C:$FO,96,FALSE))</f>
        <v/>
      </c>
      <c r="BH49" s="7" t="str">
        <f>IF(VLOOKUP($B49,'[1]Cost Analysis'!$C:$FO,97,FALSE)=0,"",VLOOKUP($B49,'[1]Cost Analysis'!$C:$FO,97,FALSE))</f>
        <v/>
      </c>
      <c r="BI49" s="7" t="str">
        <f>IF(VLOOKUP($B49,'[1]Cost Analysis'!$C:$FO,98,FALSE)=0,"",VLOOKUP($B49,'[1]Cost Analysis'!$C:$FO,98,FALSE))</f>
        <v/>
      </c>
      <c r="BJ49" s="7" t="str">
        <f>IF(VLOOKUP($B49,'[1]Cost Analysis'!$C:$FO,99,FALSE)=0,"",VLOOKUP($B49,'[1]Cost Analysis'!$C:$FO,99,FALSE))</f>
        <v/>
      </c>
      <c r="BK49" s="7" t="str">
        <f>IF(VLOOKUP($B49,'[1]Cost Analysis'!$C:$FO,100,FALSE)=0,"",VLOOKUP($B49,'[1]Cost Analysis'!$C:$FO,100,FALSE))</f>
        <v/>
      </c>
      <c r="BL49" s="7" t="str">
        <f>IF(VLOOKUP($B49,'[1]Cost Analysis'!$C:$FO,101,FALSE)=0,"",VLOOKUP($B49,'[1]Cost Analysis'!$C:$FO,101,FALSE))</f>
        <v/>
      </c>
      <c r="BM49" s="7" t="str">
        <f>IF(VLOOKUP($B49,'[1]Cost Analysis'!$C:$FO,102,FALSE)=0,"",VLOOKUP($B49,'[1]Cost Analysis'!$C:$FO,102,FALSE))</f>
        <v/>
      </c>
      <c r="BN49" s="7" t="str">
        <f>IF(VLOOKUP($B49,'[1]Cost Analysis'!$C:$FO,103,FALSE)=0,"",VLOOKUP($B49,'[1]Cost Analysis'!$C:$FO,103,FALSE))</f>
        <v/>
      </c>
      <c r="BO49" s="7" t="str">
        <f>IF(VLOOKUP($B49,'[1]Cost Analysis'!$C:$FO,104,FALSE)=0,"",VLOOKUP($B49,'[1]Cost Analysis'!$C:$FO,104,FALSE))</f>
        <v/>
      </c>
      <c r="BP49" s="7" t="str">
        <f>IF(VLOOKUP($B49,'[1]Cost Analysis'!$C:$FO,105,FALSE)=0,"",VLOOKUP($B49,'[1]Cost Analysis'!$C:$FO,105,FALSE))</f>
        <v/>
      </c>
      <c r="BQ49" s="7" t="str">
        <f>IF(VLOOKUP($B49,'[1]Cost Analysis'!$C:$FO,106,FALSE)=0,"",VLOOKUP($B49,'[1]Cost Analysis'!$C:$FO,106,FALSE))</f>
        <v/>
      </c>
      <c r="BR49" s="7" t="str">
        <f>IF(VLOOKUP($B49,'[1]Cost Analysis'!$C:$FO,107,FALSE)=0,"",VLOOKUP($B49,'[1]Cost Analysis'!$C:$FO,107,FALSE))</f>
        <v/>
      </c>
      <c r="BS49" s="7" t="str">
        <f>IF(VLOOKUP($B49,'[1]Cost Analysis'!$C:$FO,108,FALSE)=0,"",VLOOKUP($B49,'[1]Cost Analysis'!$C:$FO,108,FALSE))</f>
        <v/>
      </c>
      <c r="BT49" s="7" t="str">
        <f>IF(VLOOKUP($B49,'[1]Cost Analysis'!$C:$FO,109,FALSE)=0,"",VLOOKUP($B49,'[1]Cost Analysis'!$C:$FO,109,FALSE))</f>
        <v/>
      </c>
      <c r="BU49" s="7" t="str">
        <f>IF(VLOOKUP($B49,'[1]Cost Analysis'!$C:$FO,110,FALSE)=0,"",VLOOKUP($B49,'[1]Cost Analysis'!$C:$FO,110,FALSE))</f>
        <v/>
      </c>
      <c r="BV49" s="7" t="str">
        <f>IF(VLOOKUP($B49,'[1]Cost Analysis'!$C:$FO,111,FALSE)=0,"",VLOOKUP($B49,'[1]Cost Analysis'!$C:$FO,111,FALSE))</f>
        <v/>
      </c>
      <c r="BW49" s="7" t="str">
        <f>IF(VLOOKUP($B49,'[1]Cost Analysis'!$C:$FO,112,FALSE)=0,"",VLOOKUP($B49,'[1]Cost Analysis'!$C:$FO,112,FALSE))</f>
        <v/>
      </c>
      <c r="BX49" s="7" t="str">
        <f>IF(VLOOKUP($B49,'[1]Cost Analysis'!$C:$FO,125,FALSE)=0,"",VLOOKUP($B49,'[1]Cost Analysis'!$C:$FO,125,FALSE))</f>
        <v/>
      </c>
      <c r="BY49" s="7" t="str">
        <f>IF(VLOOKUP($B49,'[1]Cost Analysis'!$C:$FO,126,FALSE)=0,"",VLOOKUP($B49,'[1]Cost Analysis'!$C:$FO,126,FALSE))</f>
        <v/>
      </c>
      <c r="BZ49" s="7" t="str">
        <f>IF(VLOOKUP($B49,'[1]Cost Analysis'!$C:$FO,127,FALSE)=0,"",VLOOKUP($B49,'[1]Cost Analysis'!$C:$FO,127,FALSE))</f>
        <v/>
      </c>
      <c r="CA49" s="7" t="str">
        <f>IF(VLOOKUP($B49,'[1]Cost Analysis'!$C:$FO,128,FALSE)=0,"",VLOOKUP($B49,'[1]Cost Analysis'!$C:$FO,128,FALSE))</f>
        <v/>
      </c>
      <c r="CB49" s="7" t="str">
        <f>IF(VLOOKUP($B49,'[1]Cost Analysis'!$C:$FO,129,FALSE)=0,"",VLOOKUP($B49,'[1]Cost Analysis'!$C:$FO,129,FALSE))</f>
        <v/>
      </c>
      <c r="CC49" s="7" t="str">
        <f>IF(VLOOKUP($B49,'[1]Cost Analysis'!$C:$FO,130,FALSE)=0,"",VLOOKUP($B49,'[1]Cost Analysis'!$C:$FO,130,FALSE))</f>
        <v/>
      </c>
      <c r="CD49" s="7" t="str">
        <f>IF(VLOOKUP($B49,'[1]Cost Analysis'!$C:$FO,131,FALSE)=0,"",VLOOKUP($B49,'[1]Cost Analysis'!$C:$FO,131,FALSE))</f>
        <v/>
      </c>
      <c r="CE49" s="7" t="str">
        <f>IF(VLOOKUP($B49,'[1]Cost Analysis'!$C:$FO,132,FALSE)=0,"",VLOOKUP($B49,'[1]Cost Analysis'!$C:$FO,132,FALSE))</f>
        <v/>
      </c>
      <c r="CF49" s="7" t="str">
        <f>IF(VLOOKUP($B49,'[1]Cost Analysis'!$C:$FO,133,FALSE)=0,"",VLOOKUP($B49,'[1]Cost Analysis'!$C:$FO,133,FALSE))</f>
        <v/>
      </c>
      <c r="CG49" s="7" t="str">
        <f>IF(VLOOKUP($B49,'[1]Cost Analysis'!$C:$FO,134,FALSE)=0,"",VLOOKUP($B49,'[1]Cost Analysis'!$C:$FO,134,FALSE))</f>
        <v/>
      </c>
      <c r="CH49" s="7" t="str">
        <f>IF(VLOOKUP($B49,'[1]Cost Analysis'!$C:$FO,135,FALSE)=0,"",VLOOKUP($B49,'[1]Cost Analysis'!$C:$FO,135,FALSE))</f>
        <v/>
      </c>
      <c r="CI49" s="7" t="str">
        <f>IF(VLOOKUP($B49,'[1]Cost Analysis'!$C:$FO,136,FALSE)=0,"",VLOOKUP($B49,'[1]Cost Analysis'!$C:$FO,136,FALSE))</f>
        <v/>
      </c>
      <c r="CJ49" s="7" t="str">
        <f>IF(VLOOKUP($B49,'[1]Cost Analysis'!$C:$FO,137,FALSE)=0,"",VLOOKUP($B49,'[1]Cost Analysis'!$C:$FO,137,FALSE))</f>
        <v/>
      </c>
      <c r="CK49" s="7" t="str">
        <f>IF(VLOOKUP($B49,'[1]Cost Analysis'!$C:$FO,138,FALSE)=0,"",VLOOKUP($B49,'[1]Cost Analysis'!$C:$FO,138,FALSE))</f>
        <v/>
      </c>
      <c r="CL49" s="7" t="str">
        <f>IF(VLOOKUP($B49,'[1]Cost Analysis'!$C:$FO,139,FALSE)=0,"",VLOOKUP($B49,'[1]Cost Analysis'!$C:$FO,139,FALSE))</f>
        <v/>
      </c>
    </row>
    <row r="50" spans="1:90" ht="30" x14ac:dyDescent="0.25">
      <c r="A50" s="13" t="s">
        <v>1</v>
      </c>
      <c r="B50" s="20" t="s">
        <v>8</v>
      </c>
      <c r="C50" s="19" t="str">
        <f>VLOOKUP($B50,'[1]Cost Analysis'!$C:$FO,7,FALSE)</f>
        <v>Proposal</v>
      </c>
      <c r="D50" s="19" t="str">
        <f>VLOOKUP($B50,'[1]Cost Analysis'!$C:$FO,8,FALSE)</f>
        <v>Design Development</v>
      </c>
      <c r="E50" s="18">
        <f>IF(ISERROR(VLOOKUP($B50,'[1]Cost Analysis'!$C:$FO,9,FALSE)),"",VLOOKUP($B50,'[1]Cost Analysis'!$C:$FO,9,FALSE))</f>
        <v>64215072</v>
      </c>
      <c r="F50" s="17">
        <f>IF(ISERROR(VLOOKUP($B50,'[1]Cost Analysis'!$C:$FO,10,FALSE)),"",VLOOKUP($B50,'[1]Cost Analysis'!$C:$FO,10,FALSE))</f>
        <v>794.8590384710601</v>
      </c>
      <c r="G50" s="9">
        <f>IF(ISERROR(VLOOKUP($B50,'[1]Cost Analysis'!$C:$FO,12,FALSE)),"",VLOOKUP($B50,'[1]Cost Analysis'!$C:$FO,12,FALSE))</f>
        <v>0</v>
      </c>
      <c r="H50" s="17">
        <f>IF(ISERROR(VLOOKUP($B50,'[1]Cost Analysis'!$C:$FO,13,FALSE)),"",VLOOKUP($B50,'[1]Cost Analysis'!$C:$FO,13,FALSE))</f>
        <v>0</v>
      </c>
      <c r="I50" s="16">
        <f>IF(ISERROR(VLOOKUP($B50,'[1]Cost Analysis'!$C:$FO,14,FALSE)),"",VLOOKUP($B50,'[1]Cost Analysis'!$C:$FO,14,FALSE))</f>
        <v>0</v>
      </c>
      <c r="J50" s="18">
        <f>IF(ISERROR(VLOOKUP($B50,'[1]Cost Analysis'!$C:$FO,15,FALSE)),"",VLOOKUP($B50,'[1]Cost Analysis'!$C:$FO,15,FALSE))</f>
        <v>405000</v>
      </c>
      <c r="K50" s="16">
        <f>IF(ISERROR(VLOOKUP($B50,'[1]Cost Analysis'!$C:$FO,16,FALSE)),"",VLOOKUP($B50,'[1]Cost Analysis'!$C:$FO,16,FALSE))</f>
        <v>6.3069305598536119E-3</v>
      </c>
      <c r="L50" s="17">
        <f>IF(ISERROR(VLOOKUP($B50,'[1]Cost Analysis'!$C:$FO,17,FALSE)),"",VLOOKUP($B50,'[1]Cost Analysis'!$C:$FO,17,FALSE))</f>
        <v>0</v>
      </c>
      <c r="M50" s="17">
        <f>IF(ISERROR(VLOOKUP($B50,'[1]Cost Analysis'!$C:$FO,18,FALSE)),"",VLOOKUP($B50,'[1]Cost Analysis'!$C:$FO,18,FALSE))</f>
        <v>0</v>
      </c>
      <c r="N50" s="16">
        <f>IF(ISERROR(VLOOKUP($B50,'[1]Cost Analysis'!$C:$FO,19,FALSE)),"",VLOOKUP($B50,'[1]Cost Analysis'!$C:$FO,19,FALSE))</f>
        <v>0</v>
      </c>
      <c r="O50" s="11">
        <f>IF(ISERROR(VLOOKUP($B50,'[1]Cost Analysis'!$C:$FO,36,FALSE)),"",VLOOKUP($B50,'[1]Cost Analysis'!$C:$FO,36,FALSE))</f>
        <v>236438.1</v>
      </c>
      <c r="P50" s="13" t="str">
        <f>IF(ISERROR(VLOOKUP($B50,'[1]Cost Analysis'!$C:$FO,37,FALSE)),"",VLOOKUP($B50,'[1]Cost Analysis'!$C:$FO,37,FALSE))</f>
        <v xml:space="preserve">Solar PV onsite owned </v>
      </c>
      <c r="Q50" s="11">
        <f>VLOOKUP($B50,'[1]Cost Analysis'!$C:$FO,39,FALSE)</f>
        <v>80788</v>
      </c>
      <c r="R50" s="11">
        <f>VLOOKUP($B50,'[1]Cost Analysis'!$C:$FO,40,FALSE)</f>
        <v>80788</v>
      </c>
      <c r="S50" s="13">
        <f>VLOOKUP($B50,'[1]Cost Analysis'!$C:$FO,41,FALSE)</f>
        <v>1</v>
      </c>
      <c r="T50" s="13">
        <f>VLOOKUP($B50,'[1]Cost Analysis'!$C:$FO,42,FALSE)</f>
        <v>7</v>
      </c>
      <c r="U50" s="13">
        <f>VLOOKUP($B50,'[1]Cost Analysis'!$C:$FO,43,FALSE)</f>
        <v>90</v>
      </c>
      <c r="V50" s="13" t="str">
        <f>VLOOKUP($B50,'[1]Cost Analysis'!$C:$FO,44,FALSE)</f>
        <v>Phius</v>
      </c>
      <c r="W50" s="13" t="str">
        <f>VLOOKUP($B50,'[1]Cost Analysis'!$C:$FO,45,FALSE)</f>
        <v>NYC</v>
      </c>
      <c r="X50" s="15" t="str">
        <f>VLOOKUP($B50,'[1]Cost Analysis'!$C:$FO,46,FALSE)</f>
        <v>All Electric</v>
      </c>
      <c r="Y50" s="14" t="str">
        <f>VLOOKUP($B50,'[1]Cost Analysis'!$C:$FO,47,FALSE)</f>
        <v>LMI</v>
      </c>
      <c r="Z50" s="13" t="str">
        <f>VLOOKUP($B50,'[1]Cost Analysis'!$C:$FO,48,FALSE)</f>
        <v>Yes</v>
      </c>
      <c r="AA50" s="13" t="str">
        <f>VLOOKUP($B50,'[1]Cost Analysis'!$C:$FO,49,FALSE)</f>
        <v>Block and Concrete Plank</v>
      </c>
      <c r="AB50" s="13" t="str">
        <f>VLOOKUP($B50,'[1]Cost Analysis'!$C:$FO,50,FALSE)</f>
        <v>Minisplit - ASHP</v>
      </c>
      <c r="AC50" s="13" t="str">
        <f>VLOOKUP($B50,'[1]Cost Analysis'!$C:$FO,51,FALSE)</f>
        <v>ERV</v>
      </c>
      <c r="AD50" s="13" t="str">
        <f>VLOOKUP($B50,'[1]Cost Analysis'!$C:$FO,52,FALSE)</f>
        <v xml:space="preserve">ASHP w/ CO2 </v>
      </c>
      <c r="AE50" s="13" t="str">
        <f>VLOOKUP($B50,'[1]Cost Analysis'!$C:$FO,53,FALSE)</f>
        <v>Yes</v>
      </c>
      <c r="AF50" s="13" t="str">
        <f>VLOOKUP($B50,'[1]Cost Analysis'!$C:$FO,54,FALSE)</f>
        <v>Mid Rise</v>
      </c>
      <c r="AG50" s="13" t="str">
        <f>IF(VLOOKUP($B50,'[1]Cost Analysis'!$C:$FO,55,FALSE)="PV","Yes","No")</f>
        <v>Yes</v>
      </c>
      <c r="AH50" s="13" t="str">
        <f>VLOOKUP($B50,'[1]Cost Analysis'!$C:$FO,57,FALSE)</f>
        <v>No</v>
      </c>
      <c r="AI50" s="13" t="str">
        <f>VLOOKUP($B50,'[1]Cost Analysis'!$C:$FO,58,FALSE)</f>
        <v>No</v>
      </c>
      <c r="AJ50" s="13" t="str">
        <f>VLOOKUP($B50,'[1]Cost Analysis'!$C:$FO,59,FALSE)</f>
        <v>No</v>
      </c>
      <c r="AK50" s="13">
        <f>VLOOKUP($B50,'[1]Cost Analysis'!$C:$FO,60,FALSE)</f>
        <v>4</v>
      </c>
      <c r="AL50" s="13" t="str">
        <f>VLOOKUP($B50,'[1]Cost Analysis'!$C:$FO,61,FALSE)</f>
        <v>No</v>
      </c>
      <c r="AM50" s="13">
        <f>VLOOKUP($B50,'[1]Cost Analysis'!$C:$FO,62,FALSE)</f>
        <v>0</v>
      </c>
      <c r="AN50" s="12" t="str">
        <f>VLOOKUP($B50,'[1]Cost Analysis'!$C:$FO,63,FALSE)</f>
        <v>2020 ECCC NYS</v>
      </c>
      <c r="AO50" s="12">
        <f>VLOOKUP($B50,'[1]Cost Analysis'!$C:$FO,67,FALSE)</f>
        <v>0</v>
      </c>
      <c r="AP50" s="12">
        <f>VLOOKUP($B50,'[1]Cost Analysis'!$C:$FO,69,FALSE)</f>
        <v>0</v>
      </c>
      <c r="AQ50" s="11">
        <f>VLOOKUP($B50,'[1]Cost Analysis'!$C:$FO,74,FALSE)</f>
        <v>0</v>
      </c>
      <c r="AR50" s="11">
        <f>VLOOKUP($B50,'[1]Cost Analysis'!$C:$FO,75,FALSE)</f>
        <v>0</v>
      </c>
      <c r="AS50" s="10">
        <f>IF(ISERROR(VLOOKUP($B50,'[1]Cost Analysis'!$C:$FO,76,FALSE)),"",VLOOKUP($B50,'[1]Cost Analysis'!$C:$FO,76,FALSE))</f>
        <v>0</v>
      </c>
      <c r="AT50" s="9">
        <f>VLOOKUP($B50,'[1]Cost Analysis'!$C:$FO,78,FALSE)</f>
        <v>0</v>
      </c>
      <c r="AU50" s="9">
        <f>VLOOKUP($B50,'[1]Cost Analysis'!$C:$FO,82,FALSE)</f>
        <v>0</v>
      </c>
      <c r="AV50" s="8">
        <f>VLOOKUP($B50,'[1]Cost Analysis'!$C:$FO,83,FALSE)</f>
        <v>0</v>
      </c>
      <c r="AW50" s="7" t="str">
        <f>IF(VLOOKUP($B50,'[1]Cost Analysis'!$C:$FO,86,FALSE)=0,"",VLOOKUP($B50,'[1]Cost Analysis'!$C:$FO,86,FALSE))</f>
        <v/>
      </c>
      <c r="AX50" s="7" t="str">
        <f>IF(VLOOKUP($B50,'[1]Cost Analysis'!$C:$FO,87,FALSE)=0,"",VLOOKUP($B50,'[1]Cost Analysis'!$C:$FO,87,FALSE))</f>
        <v/>
      </c>
      <c r="AY50" s="7" t="str">
        <f>IF(VLOOKUP($B50,'[1]Cost Analysis'!$C:$FO,88,FALSE)=0,"",VLOOKUP($B50,'[1]Cost Analysis'!$C:$FO,88,FALSE))</f>
        <v/>
      </c>
      <c r="AZ50" s="7" t="str">
        <f>IF(VLOOKUP($B50,'[1]Cost Analysis'!$C:$FO,89,FALSE)=0,"",VLOOKUP($B50,'[1]Cost Analysis'!$C:$FO,89,FALSE))</f>
        <v/>
      </c>
      <c r="BA50" s="7" t="str">
        <f>IF(VLOOKUP($B50,'[1]Cost Analysis'!$C:$FO,90,FALSE)=0,"",VLOOKUP($B50,'[1]Cost Analysis'!$C:$FO,90,FALSE))</f>
        <v/>
      </c>
      <c r="BB50" s="7" t="str">
        <f>IF(VLOOKUP($B50,'[1]Cost Analysis'!$C:$FO,91,FALSE)=0,"",VLOOKUP($B50,'[1]Cost Analysis'!$C:$FO,91,FALSE))</f>
        <v/>
      </c>
      <c r="BC50" s="7" t="str">
        <f>IF(VLOOKUP($B50,'[1]Cost Analysis'!$C:$FO,92,FALSE)=0,"",VLOOKUP($B50,'[1]Cost Analysis'!$C:$FO,92,FALSE))</f>
        <v/>
      </c>
      <c r="BD50" s="7" t="str">
        <f>IF(VLOOKUP($B50,'[1]Cost Analysis'!$C:$FO,93,FALSE)=0,"",VLOOKUP($B50,'[1]Cost Analysis'!$C:$FO,93,FALSE))</f>
        <v/>
      </c>
      <c r="BE50" s="7" t="str">
        <f>IF(VLOOKUP($B50,'[1]Cost Analysis'!$C:$FO,94,FALSE)=0,"",VLOOKUP($B50,'[1]Cost Analysis'!$C:$FO,94,FALSE))</f>
        <v/>
      </c>
      <c r="BF50" s="7" t="str">
        <f>IF(VLOOKUP($B50,'[1]Cost Analysis'!$C:$FO,95,FALSE)=0,"",VLOOKUP($B50,'[1]Cost Analysis'!$C:$FO,95,FALSE))</f>
        <v/>
      </c>
      <c r="BG50" s="7" t="str">
        <f>IF(VLOOKUP($B50,'[1]Cost Analysis'!$C:$FO,96,FALSE)=0,"",VLOOKUP($B50,'[1]Cost Analysis'!$C:$FO,96,FALSE))</f>
        <v/>
      </c>
      <c r="BH50" s="7" t="str">
        <f>IF(VLOOKUP($B50,'[1]Cost Analysis'!$C:$FO,97,FALSE)=0,"",VLOOKUP($B50,'[1]Cost Analysis'!$C:$FO,97,FALSE))</f>
        <v/>
      </c>
      <c r="BI50" s="7" t="str">
        <f>IF(VLOOKUP($B50,'[1]Cost Analysis'!$C:$FO,98,FALSE)=0,"",VLOOKUP($B50,'[1]Cost Analysis'!$C:$FO,98,FALSE))</f>
        <v/>
      </c>
      <c r="BJ50" s="7" t="str">
        <f>IF(VLOOKUP($B50,'[1]Cost Analysis'!$C:$FO,99,FALSE)=0,"",VLOOKUP($B50,'[1]Cost Analysis'!$C:$FO,99,FALSE))</f>
        <v/>
      </c>
      <c r="BK50" s="7" t="str">
        <f>IF(VLOOKUP($B50,'[1]Cost Analysis'!$C:$FO,100,FALSE)=0,"",VLOOKUP($B50,'[1]Cost Analysis'!$C:$FO,100,FALSE))</f>
        <v/>
      </c>
      <c r="BL50" s="7" t="str">
        <f>IF(VLOOKUP($B50,'[1]Cost Analysis'!$C:$FO,101,FALSE)=0,"",VLOOKUP($B50,'[1]Cost Analysis'!$C:$FO,101,FALSE))</f>
        <v/>
      </c>
      <c r="BM50" s="7" t="str">
        <f>IF(VLOOKUP($B50,'[1]Cost Analysis'!$C:$FO,102,FALSE)=0,"",VLOOKUP($B50,'[1]Cost Analysis'!$C:$FO,102,FALSE))</f>
        <v/>
      </c>
      <c r="BN50" s="7" t="str">
        <f>IF(VLOOKUP($B50,'[1]Cost Analysis'!$C:$FO,103,FALSE)=0,"",VLOOKUP($B50,'[1]Cost Analysis'!$C:$FO,103,FALSE))</f>
        <v/>
      </c>
      <c r="BO50" s="7" t="str">
        <f>IF(VLOOKUP($B50,'[1]Cost Analysis'!$C:$FO,104,FALSE)=0,"",VLOOKUP($B50,'[1]Cost Analysis'!$C:$FO,104,FALSE))</f>
        <v/>
      </c>
      <c r="BP50" s="7" t="str">
        <f>IF(VLOOKUP($B50,'[1]Cost Analysis'!$C:$FO,105,FALSE)=0,"",VLOOKUP($B50,'[1]Cost Analysis'!$C:$FO,105,FALSE))</f>
        <v/>
      </c>
      <c r="BQ50" s="7" t="str">
        <f>IF(VLOOKUP($B50,'[1]Cost Analysis'!$C:$FO,106,FALSE)=0,"",VLOOKUP($B50,'[1]Cost Analysis'!$C:$FO,106,FALSE))</f>
        <v/>
      </c>
      <c r="BR50" s="7" t="str">
        <f>IF(VLOOKUP($B50,'[1]Cost Analysis'!$C:$FO,107,FALSE)=0,"",VLOOKUP($B50,'[1]Cost Analysis'!$C:$FO,107,FALSE))</f>
        <v/>
      </c>
      <c r="BS50" s="7" t="str">
        <f>IF(VLOOKUP($B50,'[1]Cost Analysis'!$C:$FO,108,FALSE)=0,"",VLOOKUP($B50,'[1]Cost Analysis'!$C:$FO,108,FALSE))</f>
        <v/>
      </c>
      <c r="BT50" s="7" t="str">
        <f>IF(VLOOKUP($B50,'[1]Cost Analysis'!$C:$FO,109,FALSE)=0,"",VLOOKUP($B50,'[1]Cost Analysis'!$C:$FO,109,FALSE))</f>
        <v/>
      </c>
      <c r="BU50" s="7" t="str">
        <f>IF(VLOOKUP($B50,'[1]Cost Analysis'!$C:$FO,110,FALSE)=0,"",VLOOKUP($B50,'[1]Cost Analysis'!$C:$FO,110,FALSE))</f>
        <v/>
      </c>
      <c r="BV50" s="7" t="str">
        <f>IF(VLOOKUP($B50,'[1]Cost Analysis'!$C:$FO,111,FALSE)=0,"",VLOOKUP($B50,'[1]Cost Analysis'!$C:$FO,111,FALSE))</f>
        <v/>
      </c>
      <c r="BW50" s="7" t="str">
        <f>IF(VLOOKUP($B50,'[1]Cost Analysis'!$C:$FO,112,FALSE)=0,"",VLOOKUP($B50,'[1]Cost Analysis'!$C:$FO,112,FALSE))</f>
        <v/>
      </c>
      <c r="BX50" s="7" t="str">
        <f>IF(VLOOKUP($B50,'[1]Cost Analysis'!$C:$FO,125,FALSE)=0,"",VLOOKUP($B50,'[1]Cost Analysis'!$C:$FO,125,FALSE))</f>
        <v/>
      </c>
      <c r="BY50" s="7" t="str">
        <f>IF(VLOOKUP($B50,'[1]Cost Analysis'!$C:$FO,126,FALSE)=0,"",VLOOKUP($B50,'[1]Cost Analysis'!$C:$FO,126,FALSE))</f>
        <v/>
      </c>
      <c r="BZ50" s="7" t="str">
        <f>IF(VLOOKUP($B50,'[1]Cost Analysis'!$C:$FO,127,FALSE)=0,"",VLOOKUP($B50,'[1]Cost Analysis'!$C:$FO,127,FALSE))</f>
        <v/>
      </c>
      <c r="CA50" s="7" t="str">
        <f>IF(VLOOKUP($B50,'[1]Cost Analysis'!$C:$FO,128,FALSE)=0,"",VLOOKUP($B50,'[1]Cost Analysis'!$C:$FO,128,FALSE))</f>
        <v/>
      </c>
      <c r="CB50" s="7" t="str">
        <f>IF(VLOOKUP($B50,'[1]Cost Analysis'!$C:$FO,129,FALSE)=0,"",VLOOKUP($B50,'[1]Cost Analysis'!$C:$FO,129,FALSE))</f>
        <v/>
      </c>
      <c r="CC50" s="7" t="str">
        <f>IF(VLOOKUP($B50,'[1]Cost Analysis'!$C:$FO,130,FALSE)=0,"",VLOOKUP($B50,'[1]Cost Analysis'!$C:$FO,130,FALSE))</f>
        <v/>
      </c>
      <c r="CD50" s="7" t="str">
        <f>IF(VLOOKUP($B50,'[1]Cost Analysis'!$C:$FO,131,FALSE)=0,"",VLOOKUP($B50,'[1]Cost Analysis'!$C:$FO,131,FALSE))</f>
        <v/>
      </c>
      <c r="CE50" s="7" t="str">
        <f>IF(VLOOKUP($B50,'[1]Cost Analysis'!$C:$FO,132,FALSE)=0,"",VLOOKUP($B50,'[1]Cost Analysis'!$C:$FO,132,FALSE))</f>
        <v/>
      </c>
      <c r="CF50" s="7" t="str">
        <f>IF(VLOOKUP($B50,'[1]Cost Analysis'!$C:$FO,133,FALSE)=0,"",VLOOKUP($B50,'[1]Cost Analysis'!$C:$FO,133,FALSE))</f>
        <v/>
      </c>
      <c r="CG50" s="7" t="str">
        <f>IF(VLOOKUP($B50,'[1]Cost Analysis'!$C:$FO,134,FALSE)=0,"",VLOOKUP($B50,'[1]Cost Analysis'!$C:$FO,134,FALSE))</f>
        <v/>
      </c>
      <c r="CH50" s="7" t="str">
        <f>IF(VLOOKUP($B50,'[1]Cost Analysis'!$C:$FO,135,FALSE)=0,"",VLOOKUP($B50,'[1]Cost Analysis'!$C:$FO,135,FALSE))</f>
        <v/>
      </c>
      <c r="CI50" s="7" t="str">
        <f>IF(VLOOKUP($B50,'[1]Cost Analysis'!$C:$FO,136,FALSE)=0,"",VLOOKUP($B50,'[1]Cost Analysis'!$C:$FO,136,FALSE))</f>
        <v/>
      </c>
      <c r="CJ50" s="7" t="str">
        <f>IF(VLOOKUP($B50,'[1]Cost Analysis'!$C:$FO,137,FALSE)=0,"",VLOOKUP($B50,'[1]Cost Analysis'!$C:$FO,137,FALSE))</f>
        <v/>
      </c>
      <c r="CK50" s="7" t="str">
        <f>IF(VLOOKUP($B50,'[1]Cost Analysis'!$C:$FO,138,FALSE)=0,"",VLOOKUP($B50,'[1]Cost Analysis'!$C:$FO,138,FALSE))</f>
        <v/>
      </c>
      <c r="CL50" s="7" t="str">
        <f>IF(VLOOKUP($B50,'[1]Cost Analysis'!$C:$FO,139,FALSE)=0,"",VLOOKUP($B50,'[1]Cost Analysis'!$C:$FO,139,FALSE))</f>
        <v/>
      </c>
    </row>
    <row r="51" spans="1:90" ht="30" x14ac:dyDescent="0.25">
      <c r="A51" s="13" t="s">
        <v>1</v>
      </c>
      <c r="B51" s="20" t="s">
        <v>7</v>
      </c>
      <c r="C51" s="19" t="str">
        <f>VLOOKUP($B51,'[1]Cost Analysis'!$C:$FO,7,FALSE)</f>
        <v>Proposal</v>
      </c>
      <c r="D51" s="19" t="str">
        <f>VLOOKUP($B51,'[1]Cost Analysis'!$C:$FO,8,FALSE)</f>
        <v>Schematic Design</v>
      </c>
      <c r="E51" s="18">
        <f>IF(ISERROR(VLOOKUP($B51,'[1]Cost Analysis'!$C:$FO,9,FALSE)),"",VLOOKUP($B51,'[1]Cost Analysis'!$C:$FO,9,FALSE))</f>
        <v>13900000</v>
      </c>
      <c r="F51" s="17">
        <f>IF(ISERROR(VLOOKUP($B51,'[1]Cost Analysis'!$C:$FO,10,FALSE)),"",VLOOKUP($B51,'[1]Cost Analysis'!$C:$FO,10,FALSE))</f>
        <v>167.23212781828244</v>
      </c>
      <c r="G51" s="9">
        <f>IF(ISERROR(VLOOKUP($B51,'[1]Cost Analysis'!$C:$FO,12,FALSE)),"",VLOOKUP($B51,'[1]Cost Analysis'!$C:$FO,12,FALSE))</f>
        <v>0</v>
      </c>
      <c r="H51" s="17">
        <f>IF(ISERROR(VLOOKUP($B51,'[1]Cost Analysis'!$C:$FO,13,FALSE)),"",VLOOKUP($B51,'[1]Cost Analysis'!$C:$FO,13,FALSE))</f>
        <v>0</v>
      </c>
      <c r="I51" s="16">
        <f>IF(ISERROR(VLOOKUP($B51,'[1]Cost Analysis'!$C:$FO,14,FALSE)),"",VLOOKUP($B51,'[1]Cost Analysis'!$C:$FO,14,FALSE))</f>
        <v>0</v>
      </c>
      <c r="J51" s="18">
        <f>IF(ISERROR(VLOOKUP($B51,'[1]Cost Analysis'!$C:$FO,15,FALSE)),"",VLOOKUP($B51,'[1]Cost Analysis'!$C:$FO,15,FALSE))</f>
        <v>2010000</v>
      </c>
      <c r="K51" s="16">
        <f>IF(ISERROR(VLOOKUP($B51,'[1]Cost Analysis'!$C:$FO,16,FALSE)),"",VLOOKUP($B51,'[1]Cost Analysis'!$C:$FO,16,FALSE))</f>
        <v>0.14460431654676259</v>
      </c>
      <c r="L51" s="17">
        <f>IF(ISERROR(VLOOKUP($B51,'[1]Cost Analysis'!$C:$FO,17,FALSE)),"",VLOOKUP($B51,'[1]Cost Analysis'!$C:$FO,17,FALSE))</f>
        <v>0</v>
      </c>
      <c r="M51" s="17">
        <f>IF(ISERROR(VLOOKUP($B51,'[1]Cost Analysis'!$C:$FO,18,FALSE)),"",VLOOKUP($B51,'[1]Cost Analysis'!$C:$FO,18,FALSE))</f>
        <v>0</v>
      </c>
      <c r="N51" s="16">
        <f>IF(ISERROR(VLOOKUP($B51,'[1]Cost Analysis'!$C:$FO,19,FALSE)),"",VLOOKUP($B51,'[1]Cost Analysis'!$C:$FO,19,FALSE))</f>
        <v>0</v>
      </c>
      <c r="O51" s="11">
        <f>IF(ISERROR(VLOOKUP($B51,'[1]Cost Analysis'!$C:$FO,36,FALSE)),"",VLOOKUP($B51,'[1]Cost Analysis'!$C:$FO,36,FALSE))</f>
        <v>592900</v>
      </c>
      <c r="P51" s="13" t="str">
        <f>IF(ISERROR(VLOOKUP($B51,'[1]Cost Analysis'!$C:$FO,37,FALSE)),"",VLOOKUP($B51,'[1]Cost Analysis'!$C:$FO,37,FALSE))</f>
        <v xml:space="preserve">Solar PV onsite owned </v>
      </c>
      <c r="Q51" s="11">
        <f>VLOOKUP($B51,'[1]Cost Analysis'!$C:$FO,39,FALSE)</f>
        <v>83118</v>
      </c>
      <c r="R51" s="11">
        <f>VLOOKUP($B51,'[1]Cost Analysis'!$C:$FO,40,FALSE)</f>
        <v>65004</v>
      </c>
      <c r="S51" s="13">
        <f>VLOOKUP($B51,'[1]Cost Analysis'!$C:$FO,41,FALSE)</f>
        <v>1</v>
      </c>
      <c r="T51" s="13">
        <f>VLOOKUP($B51,'[1]Cost Analysis'!$C:$FO,42,FALSE)</f>
        <v>5</v>
      </c>
      <c r="U51" s="13">
        <f>VLOOKUP($B51,'[1]Cost Analysis'!$C:$FO,43,FALSE)</f>
        <v>46</v>
      </c>
      <c r="V51" s="13" t="str">
        <f>VLOOKUP($B51,'[1]Cost Analysis'!$C:$FO,44,FALSE)</f>
        <v>ERI</v>
      </c>
      <c r="W51" s="13" t="str">
        <f>VLOOKUP($B51,'[1]Cost Analysis'!$C:$FO,45,FALSE)</f>
        <v>Capital Region</v>
      </c>
      <c r="X51" s="15" t="str">
        <f>VLOOKUP($B51,'[1]Cost Analysis'!$C:$FO,46,FALSE)</f>
        <v>All Electric</v>
      </c>
      <c r="Y51" s="14" t="str">
        <f>VLOOKUP($B51,'[1]Cost Analysis'!$C:$FO,47,FALSE)</f>
        <v>Market Rate</v>
      </c>
      <c r="Z51" s="13" t="str">
        <f>VLOOKUP($B51,'[1]Cost Analysis'!$C:$FO,48,FALSE)</f>
        <v>Yes</v>
      </c>
      <c r="AA51" s="13" t="str">
        <f>VLOOKUP($B51,'[1]Cost Analysis'!$C:$FO,49,FALSE)</f>
        <v>Wood Frame Over Masonry Podium</v>
      </c>
      <c r="AB51" s="13" t="str">
        <f>VLOOKUP($B51,'[1]Cost Analysis'!$C:$FO,50,FALSE)</f>
        <v>GSHP</v>
      </c>
      <c r="AC51" s="13" t="str">
        <f>VLOOKUP($B51,'[1]Cost Analysis'!$C:$FO,51,FALSE)</f>
        <v>ERV</v>
      </c>
      <c r="AD51" s="13" t="str">
        <f>VLOOKUP($B51,'[1]Cost Analysis'!$C:$FO,52,FALSE)</f>
        <v>ASHP</v>
      </c>
      <c r="AE51" s="13" t="str">
        <f>VLOOKUP($B51,'[1]Cost Analysis'!$C:$FO,53,FALSE)</f>
        <v>Yes</v>
      </c>
      <c r="AF51" s="13" t="str">
        <f>VLOOKUP($B51,'[1]Cost Analysis'!$C:$FO,54,FALSE)</f>
        <v>Mid Rise</v>
      </c>
      <c r="AG51" s="13" t="str">
        <f>IF(VLOOKUP($B51,'[1]Cost Analysis'!$C:$FO,55,FALSE)="PV","Yes","No")</f>
        <v>Yes</v>
      </c>
      <c r="AH51" s="13" t="str">
        <f>VLOOKUP($B51,'[1]Cost Analysis'!$C:$FO,57,FALSE)</f>
        <v>Yes</v>
      </c>
      <c r="AI51" s="13" t="str">
        <f>VLOOKUP($B51,'[1]Cost Analysis'!$C:$FO,58,FALSE)</f>
        <v>No</v>
      </c>
      <c r="AJ51" s="13" t="str">
        <f>VLOOKUP($B51,'[1]Cost Analysis'!$C:$FO,59,FALSE)</f>
        <v>No</v>
      </c>
      <c r="AK51" s="13">
        <f>VLOOKUP($B51,'[1]Cost Analysis'!$C:$FO,60,FALSE)</f>
        <v>5</v>
      </c>
      <c r="AL51" s="13" t="str">
        <f>VLOOKUP($B51,'[1]Cost Analysis'!$C:$FO,61,FALSE)</f>
        <v>No</v>
      </c>
      <c r="AM51" s="13">
        <f>VLOOKUP($B51,'[1]Cost Analysis'!$C:$FO,62,FALSE)</f>
        <v>0</v>
      </c>
      <c r="AN51" s="12" t="str">
        <f>VLOOKUP($B51,'[1]Cost Analysis'!$C:$FO,63,FALSE)</f>
        <v>2020 ECCC NYS</v>
      </c>
      <c r="AO51" s="12">
        <f>VLOOKUP($B51,'[1]Cost Analysis'!$C:$FO,67,FALSE)</f>
        <v>0</v>
      </c>
      <c r="AP51" s="12">
        <f>VLOOKUP($B51,'[1]Cost Analysis'!$C:$FO,69,FALSE)</f>
        <v>0</v>
      </c>
      <c r="AQ51" s="11">
        <f>VLOOKUP($B51,'[1]Cost Analysis'!$C:$FO,74,FALSE)</f>
        <v>0</v>
      </c>
      <c r="AR51" s="11">
        <f>VLOOKUP($B51,'[1]Cost Analysis'!$C:$FO,75,FALSE)</f>
        <v>0</v>
      </c>
      <c r="AS51" s="10">
        <f>IF(ISERROR(VLOOKUP($B51,'[1]Cost Analysis'!$C:$FO,76,FALSE)),"",VLOOKUP($B51,'[1]Cost Analysis'!$C:$FO,76,FALSE))</f>
        <v>0</v>
      </c>
      <c r="AT51" s="9">
        <f>VLOOKUP($B51,'[1]Cost Analysis'!$C:$FO,78,FALSE)</f>
        <v>0</v>
      </c>
      <c r="AU51" s="9">
        <f>VLOOKUP($B51,'[1]Cost Analysis'!$C:$FO,82,FALSE)</f>
        <v>0</v>
      </c>
      <c r="AV51" s="8">
        <f>VLOOKUP($B51,'[1]Cost Analysis'!$C:$FO,83,FALSE)</f>
        <v>0</v>
      </c>
      <c r="AW51" s="7" t="str">
        <f>IF(VLOOKUP($B51,'[1]Cost Analysis'!$C:$FO,86,FALSE)=0,"",VLOOKUP($B51,'[1]Cost Analysis'!$C:$FO,86,FALSE))</f>
        <v/>
      </c>
      <c r="AX51" s="7" t="str">
        <f>IF(VLOOKUP($B51,'[1]Cost Analysis'!$C:$FO,87,FALSE)=0,"",VLOOKUP($B51,'[1]Cost Analysis'!$C:$FO,87,FALSE))</f>
        <v/>
      </c>
      <c r="AY51" s="7" t="str">
        <f>IF(VLOOKUP($B51,'[1]Cost Analysis'!$C:$FO,88,FALSE)=0,"",VLOOKUP($B51,'[1]Cost Analysis'!$C:$FO,88,FALSE))</f>
        <v/>
      </c>
      <c r="AZ51" s="7" t="str">
        <f>IF(VLOOKUP($B51,'[1]Cost Analysis'!$C:$FO,89,FALSE)=0,"",VLOOKUP($B51,'[1]Cost Analysis'!$C:$FO,89,FALSE))</f>
        <v/>
      </c>
      <c r="BA51" s="7" t="str">
        <f>IF(VLOOKUP($B51,'[1]Cost Analysis'!$C:$FO,90,FALSE)=0,"",VLOOKUP($B51,'[1]Cost Analysis'!$C:$FO,90,FALSE))</f>
        <v/>
      </c>
      <c r="BB51" s="7" t="str">
        <f>IF(VLOOKUP($B51,'[1]Cost Analysis'!$C:$FO,91,FALSE)=0,"",VLOOKUP($B51,'[1]Cost Analysis'!$C:$FO,91,FALSE))</f>
        <v/>
      </c>
      <c r="BC51" s="7" t="str">
        <f>IF(VLOOKUP($B51,'[1]Cost Analysis'!$C:$FO,92,FALSE)=0,"",VLOOKUP($B51,'[1]Cost Analysis'!$C:$FO,92,FALSE))</f>
        <v/>
      </c>
      <c r="BD51" s="7" t="str">
        <f>IF(VLOOKUP($B51,'[1]Cost Analysis'!$C:$FO,93,FALSE)=0,"",VLOOKUP($B51,'[1]Cost Analysis'!$C:$FO,93,FALSE))</f>
        <v/>
      </c>
      <c r="BE51" s="7" t="str">
        <f>IF(VLOOKUP($B51,'[1]Cost Analysis'!$C:$FO,94,FALSE)=0,"",VLOOKUP($B51,'[1]Cost Analysis'!$C:$FO,94,FALSE))</f>
        <v/>
      </c>
      <c r="BF51" s="7" t="str">
        <f>IF(VLOOKUP($B51,'[1]Cost Analysis'!$C:$FO,95,FALSE)=0,"",VLOOKUP($B51,'[1]Cost Analysis'!$C:$FO,95,FALSE))</f>
        <v/>
      </c>
      <c r="BG51" s="7" t="str">
        <f>IF(VLOOKUP($B51,'[1]Cost Analysis'!$C:$FO,96,FALSE)=0,"",VLOOKUP($B51,'[1]Cost Analysis'!$C:$FO,96,FALSE))</f>
        <v/>
      </c>
      <c r="BH51" s="7" t="str">
        <f>IF(VLOOKUP($B51,'[1]Cost Analysis'!$C:$FO,97,FALSE)=0,"",VLOOKUP($B51,'[1]Cost Analysis'!$C:$FO,97,FALSE))</f>
        <v/>
      </c>
      <c r="BI51" s="7" t="str">
        <f>IF(VLOOKUP($B51,'[1]Cost Analysis'!$C:$FO,98,FALSE)=0,"",VLOOKUP($B51,'[1]Cost Analysis'!$C:$FO,98,FALSE))</f>
        <v/>
      </c>
      <c r="BJ51" s="7" t="str">
        <f>IF(VLOOKUP($B51,'[1]Cost Analysis'!$C:$FO,99,FALSE)=0,"",VLOOKUP($B51,'[1]Cost Analysis'!$C:$FO,99,FALSE))</f>
        <v/>
      </c>
      <c r="BK51" s="7" t="str">
        <f>IF(VLOOKUP($B51,'[1]Cost Analysis'!$C:$FO,100,FALSE)=0,"",VLOOKUP($B51,'[1]Cost Analysis'!$C:$FO,100,FALSE))</f>
        <v/>
      </c>
      <c r="BL51" s="7" t="str">
        <f>IF(VLOOKUP($B51,'[1]Cost Analysis'!$C:$FO,101,FALSE)=0,"",VLOOKUP($B51,'[1]Cost Analysis'!$C:$FO,101,FALSE))</f>
        <v/>
      </c>
      <c r="BM51" s="7" t="str">
        <f>IF(VLOOKUP($B51,'[1]Cost Analysis'!$C:$FO,102,FALSE)=0,"",VLOOKUP($B51,'[1]Cost Analysis'!$C:$FO,102,FALSE))</f>
        <v/>
      </c>
      <c r="BN51" s="7" t="str">
        <f>IF(VLOOKUP($B51,'[1]Cost Analysis'!$C:$FO,103,FALSE)=0,"",VLOOKUP($B51,'[1]Cost Analysis'!$C:$FO,103,FALSE))</f>
        <v/>
      </c>
      <c r="BO51" s="7" t="str">
        <f>IF(VLOOKUP($B51,'[1]Cost Analysis'!$C:$FO,104,FALSE)=0,"",VLOOKUP($B51,'[1]Cost Analysis'!$C:$FO,104,FALSE))</f>
        <v/>
      </c>
      <c r="BP51" s="7" t="str">
        <f>IF(VLOOKUP($B51,'[1]Cost Analysis'!$C:$FO,105,FALSE)=0,"",VLOOKUP($B51,'[1]Cost Analysis'!$C:$FO,105,FALSE))</f>
        <v/>
      </c>
      <c r="BQ51" s="7" t="str">
        <f>IF(VLOOKUP($B51,'[1]Cost Analysis'!$C:$FO,106,FALSE)=0,"",VLOOKUP($B51,'[1]Cost Analysis'!$C:$FO,106,FALSE))</f>
        <v/>
      </c>
      <c r="BR51" s="7" t="str">
        <f>IF(VLOOKUP($B51,'[1]Cost Analysis'!$C:$FO,107,FALSE)=0,"",VLOOKUP($B51,'[1]Cost Analysis'!$C:$FO,107,FALSE))</f>
        <v/>
      </c>
      <c r="BS51" s="7" t="str">
        <f>IF(VLOOKUP($B51,'[1]Cost Analysis'!$C:$FO,108,FALSE)=0,"",VLOOKUP($B51,'[1]Cost Analysis'!$C:$FO,108,FALSE))</f>
        <v/>
      </c>
      <c r="BT51" s="7" t="str">
        <f>IF(VLOOKUP($B51,'[1]Cost Analysis'!$C:$FO,109,FALSE)=0,"",VLOOKUP($B51,'[1]Cost Analysis'!$C:$FO,109,FALSE))</f>
        <v/>
      </c>
      <c r="BU51" s="7" t="str">
        <f>IF(VLOOKUP($B51,'[1]Cost Analysis'!$C:$FO,110,FALSE)=0,"",VLOOKUP($B51,'[1]Cost Analysis'!$C:$FO,110,FALSE))</f>
        <v/>
      </c>
      <c r="BV51" s="7" t="str">
        <f>IF(VLOOKUP($B51,'[1]Cost Analysis'!$C:$FO,111,FALSE)=0,"",VLOOKUP($B51,'[1]Cost Analysis'!$C:$FO,111,FALSE))</f>
        <v/>
      </c>
      <c r="BW51" s="7" t="str">
        <f>IF(VLOOKUP($B51,'[1]Cost Analysis'!$C:$FO,112,FALSE)=0,"",VLOOKUP($B51,'[1]Cost Analysis'!$C:$FO,112,FALSE))</f>
        <v/>
      </c>
      <c r="BX51" s="7" t="str">
        <f>IF(VLOOKUP($B51,'[1]Cost Analysis'!$C:$FO,125,FALSE)=0,"",VLOOKUP($B51,'[1]Cost Analysis'!$C:$FO,125,FALSE))</f>
        <v/>
      </c>
      <c r="BY51" s="7" t="str">
        <f>IF(VLOOKUP($B51,'[1]Cost Analysis'!$C:$FO,126,FALSE)=0,"",VLOOKUP($B51,'[1]Cost Analysis'!$C:$FO,126,FALSE))</f>
        <v/>
      </c>
      <c r="BZ51" s="7" t="str">
        <f>IF(VLOOKUP($B51,'[1]Cost Analysis'!$C:$FO,127,FALSE)=0,"",VLOOKUP($B51,'[1]Cost Analysis'!$C:$FO,127,FALSE))</f>
        <v/>
      </c>
      <c r="CA51" s="7" t="str">
        <f>IF(VLOOKUP($B51,'[1]Cost Analysis'!$C:$FO,128,FALSE)=0,"",VLOOKUP($B51,'[1]Cost Analysis'!$C:$FO,128,FALSE))</f>
        <v/>
      </c>
      <c r="CB51" s="7" t="str">
        <f>IF(VLOOKUP($B51,'[1]Cost Analysis'!$C:$FO,129,FALSE)=0,"",VLOOKUP($B51,'[1]Cost Analysis'!$C:$FO,129,FALSE))</f>
        <v/>
      </c>
      <c r="CC51" s="7" t="str">
        <f>IF(VLOOKUP($B51,'[1]Cost Analysis'!$C:$FO,130,FALSE)=0,"",VLOOKUP($B51,'[1]Cost Analysis'!$C:$FO,130,FALSE))</f>
        <v/>
      </c>
      <c r="CD51" s="7" t="str">
        <f>IF(VLOOKUP($B51,'[1]Cost Analysis'!$C:$FO,131,FALSE)=0,"",VLOOKUP($B51,'[1]Cost Analysis'!$C:$FO,131,FALSE))</f>
        <v/>
      </c>
      <c r="CE51" s="7" t="str">
        <f>IF(VLOOKUP($B51,'[1]Cost Analysis'!$C:$FO,132,FALSE)=0,"",VLOOKUP($B51,'[1]Cost Analysis'!$C:$FO,132,FALSE))</f>
        <v/>
      </c>
      <c r="CF51" s="7" t="str">
        <f>IF(VLOOKUP($B51,'[1]Cost Analysis'!$C:$FO,133,FALSE)=0,"",VLOOKUP($B51,'[1]Cost Analysis'!$C:$FO,133,FALSE))</f>
        <v/>
      </c>
      <c r="CG51" s="7" t="str">
        <f>IF(VLOOKUP($B51,'[1]Cost Analysis'!$C:$FO,134,FALSE)=0,"",VLOOKUP($B51,'[1]Cost Analysis'!$C:$FO,134,FALSE))</f>
        <v/>
      </c>
      <c r="CH51" s="7" t="str">
        <f>IF(VLOOKUP($B51,'[1]Cost Analysis'!$C:$FO,135,FALSE)=0,"",VLOOKUP($B51,'[1]Cost Analysis'!$C:$FO,135,FALSE))</f>
        <v/>
      </c>
      <c r="CI51" s="7" t="str">
        <f>IF(VLOOKUP($B51,'[1]Cost Analysis'!$C:$FO,136,FALSE)=0,"",VLOOKUP($B51,'[1]Cost Analysis'!$C:$FO,136,FALSE))</f>
        <v/>
      </c>
      <c r="CJ51" s="7" t="str">
        <f>IF(VLOOKUP($B51,'[1]Cost Analysis'!$C:$FO,137,FALSE)=0,"",VLOOKUP($B51,'[1]Cost Analysis'!$C:$FO,137,FALSE))</f>
        <v/>
      </c>
      <c r="CK51" s="7" t="str">
        <f>IF(VLOOKUP($B51,'[1]Cost Analysis'!$C:$FO,138,FALSE)=0,"",VLOOKUP($B51,'[1]Cost Analysis'!$C:$FO,138,FALSE))</f>
        <v/>
      </c>
      <c r="CL51" s="7" t="str">
        <f>IF(VLOOKUP($B51,'[1]Cost Analysis'!$C:$FO,139,FALSE)=0,"",VLOOKUP($B51,'[1]Cost Analysis'!$C:$FO,139,FALSE))</f>
        <v/>
      </c>
    </row>
    <row r="52" spans="1:90" ht="60" x14ac:dyDescent="0.25">
      <c r="A52" s="13" t="s">
        <v>1</v>
      </c>
      <c r="B52" s="20" t="s">
        <v>6</v>
      </c>
      <c r="C52" s="19" t="str">
        <f>VLOOKUP($B52,'[1]Cost Analysis'!$C:$FO,7,FALSE)</f>
        <v>Proposal</v>
      </c>
      <c r="D52" s="19" t="str">
        <f>VLOOKUP($B52,'[1]Cost Analysis'!$C:$FO,8,FALSE)</f>
        <v>Construction Documents</v>
      </c>
      <c r="E52" s="18">
        <f>IF(ISERROR(VLOOKUP($B52,'[1]Cost Analysis'!$C:$FO,9,FALSE)),"",VLOOKUP($B52,'[1]Cost Analysis'!$C:$FO,9,FALSE))</f>
        <v>168000000</v>
      </c>
      <c r="F52" s="17">
        <f>IF(ISERROR(VLOOKUP($B52,'[1]Cost Analysis'!$C:$FO,10,FALSE)),"",VLOOKUP($B52,'[1]Cost Analysis'!$C:$FO,10,FALSE))</f>
        <v>228.56520910995619</v>
      </c>
      <c r="G52" s="9">
        <f>IF(ISERROR(VLOOKUP($B52,'[1]Cost Analysis'!$C:$FO,12,FALSE)),"",VLOOKUP($B52,'[1]Cost Analysis'!$C:$FO,12,FALSE))</f>
        <v>0</v>
      </c>
      <c r="H52" s="17">
        <f>IF(ISERROR(VLOOKUP($B52,'[1]Cost Analysis'!$C:$FO,13,FALSE)),"",VLOOKUP($B52,'[1]Cost Analysis'!$C:$FO,13,FALSE))</f>
        <v>0</v>
      </c>
      <c r="I52" s="16">
        <f>IF(ISERROR(VLOOKUP($B52,'[1]Cost Analysis'!$C:$FO,14,FALSE)),"",VLOOKUP($B52,'[1]Cost Analysis'!$C:$FO,14,FALSE))</f>
        <v>0</v>
      </c>
      <c r="J52" s="18">
        <f>IF(ISERROR(VLOOKUP($B52,'[1]Cost Analysis'!$C:$FO,15,FALSE)),"",VLOOKUP($B52,'[1]Cost Analysis'!$C:$FO,15,FALSE))</f>
        <v>1480500</v>
      </c>
      <c r="K52" s="16">
        <f>IF(ISERROR(VLOOKUP($B52,'[1]Cost Analysis'!$C:$FO,16,FALSE)),"",VLOOKUP($B52,'[1]Cost Analysis'!$C:$FO,16,FALSE))</f>
        <v>8.8124999999999992E-3</v>
      </c>
      <c r="L52" s="17">
        <f>IF(ISERROR(VLOOKUP($B52,'[1]Cost Analysis'!$C:$FO,17,FALSE)),"",VLOOKUP($B52,'[1]Cost Analysis'!$C:$FO,17,FALSE))</f>
        <v>0</v>
      </c>
      <c r="M52" s="17">
        <f>IF(ISERROR(VLOOKUP($B52,'[1]Cost Analysis'!$C:$FO,18,FALSE)),"",VLOOKUP($B52,'[1]Cost Analysis'!$C:$FO,18,FALSE))</f>
        <v>0</v>
      </c>
      <c r="N52" s="16">
        <f>IF(ISERROR(VLOOKUP($B52,'[1]Cost Analysis'!$C:$FO,19,FALSE)),"",VLOOKUP($B52,'[1]Cost Analysis'!$C:$FO,19,FALSE))</f>
        <v>0</v>
      </c>
      <c r="O52" s="11">
        <f>IF(ISERROR(VLOOKUP($B52,'[1]Cost Analysis'!$C:$FO,36,FALSE)),"",VLOOKUP($B52,'[1]Cost Analysis'!$C:$FO,36,FALSE))</f>
        <v>16975406</v>
      </c>
      <c r="P52" s="13" t="str">
        <f>IF(ISERROR(VLOOKUP($B52,'[1]Cost Analysis'!$C:$FO,37,FALSE)),"",VLOOKUP($B52,'[1]Cost Analysis'!$C:$FO,37,FALSE))</f>
        <v xml:space="preserve">Solar PV onsite owned </v>
      </c>
      <c r="Q52" s="11">
        <f>VLOOKUP($B52,'[1]Cost Analysis'!$C:$FO,39,FALSE)</f>
        <v>735020</v>
      </c>
      <c r="R52" s="11">
        <f>VLOOKUP($B52,'[1]Cost Analysis'!$C:$FO,40,FALSE)</f>
        <v>608370</v>
      </c>
      <c r="S52" s="13">
        <f>VLOOKUP($B52,'[1]Cost Analysis'!$C:$FO,41,FALSE)</f>
        <v>10</v>
      </c>
      <c r="T52" s="13">
        <f>VLOOKUP($B52,'[1]Cost Analysis'!$C:$FO,42,FALSE)</f>
        <v>5</v>
      </c>
      <c r="U52" s="13">
        <f>VLOOKUP($B52,'[1]Cost Analysis'!$C:$FO,43,FALSE)</f>
        <v>645</v>
      </c>
      <c r="V52" s="13" t="str">
        <f>VLOOKUP($B52,'[1]Cost Analysis'!$C:$FO,44,FALSE)</f>
        <v>ASHRAE</v>
      </c>
      <c r="W52" s="13" t="str">
        <f>VLOOKUP($B52,'[1]Cost Analysis'!$C:$FO,45,FALSE)</f>
        <v>Mid Hudson</v>
      </c>
      <c r="X52" s="15" t="str">
        <f>VLOOKUP($B52,'[1]Cost Analysis'!$C:$FO,46,FALSE)</f>
        <v>All Electric</v>
      </c>
      <c r="Y52" s="14" t="str">
        <f>VLOOKUP($B52,'[1]Cost Analysis'!$C:$FO,47,FALSE)</f>
        <v>Market Rate</v>
      </c>
      <c r="Z52" s="13" t="str">
        <f>VLOOKUP($B52,'[1]Cost Analysis'!$C:$FO,48,FALSE)</f>
        <v>Yes</v>
      </c>
      <c r="AA52" s="13" t="str">
        <f>VLOOKUP($B52,'[1]Cost Analysis'!$C:$FO,49,FALSE)</f>
        <v>Hybrid Mass Timber</v>
      </c>
      <c r="AB52" s="13" t="str">
        <f>VLOOKUP($B52,'[1]Cost Analysis'!$C:$FO,50,FALSE)</f>
        <v>Central Plant with HRCHs, GSHPs, and Electric Boilers as back-up</v>
      </c>
      <c r="AC52" s="13" t="str">
        <f>VLOOKUP($B52,'[1]Cost Analysis'!$C:$FO,51,FALSE)</f>
        <v>DOAS with Enthalpy Recovery Wheel</v>
      </c>
      <c r="AD52" s="13" t="str">
        <f>VLOOKUP($B52,'[1]Cost Analysis'!$C:$FO,52,FALSE)</f>
        <v>Central Plant with HRCHs, GSHPs, and Electric Boilers as back-up</v>
      </c>
      <c r="AE52" s="13" t="str">
        <f>VLOOKUP($B52,'[1]Cost Analysis'!$C:$FO,53,FALSE)</f>
        <v>Yes</v>
      </c>
      <c r="AF52" s="13" t="str">
        <f>VLOOKUP($B52,'[1]Cost Analysis'!$C:$FO,54,FALSE)</f>
        <v>Mid Rise</v>
      </c>
      <c r="AG52" s="13" t="str">
        <f>IF(VLOOKUP($B52,'[1]Cost Analysis'!$C:$FO,55,FALSE)="PV","Yes","No")</f>
        <v>Yes</v>
      </c>
      <c r="AH52" s="13" t="str">
        <f>VLOOKUP($B52,'[1]Cost Analysis'!$C:$FO,57,FALSE)</f>
        <v>Yes</v>
      </c>
      <c r="AI52" s="13" t="str">
        <f>VLOOKUP($B52,'[1]Cost Analysis'!$C:$FO,58,FALSE)</f>
        <v>No</v>
      </c>
      <c r="AJ52" s="13" t="str">
        <f>VLOOKUP($B52,'[1]Cost Analysis'!$C:$FO,59,FALSE)</f>
        <v>No</v>
      </c>
      <c r="AK52" s="13">
        <f>VLOOKUP($B52,'[1]Cost Analysis'!$C:$FO,60,FALSE)</f>
        <v>5</v>
      </c>
      <c r="AL52" s="13" t="str">
        <f>VLOOKUP($B52,'[1]Cost Analysis'!$C:$FO,61,FALSE)</f>
        <v>No</v>
      </c>
      <c r="AM52" s="13">
        <f>VLOOKUP($B52,'[1]Cost Analysis'!$C:$FO,62,FALSE)</f>
        <v>0</v>
      </c>
      <c r="AN52" s="12" t="str">
        <f>VLOOKUP($B52,'[1]Cost Analysis'!$C:$FO,63,FALSE)</f>
        <v>2020 ECCC NYS</v>
      </c>
      <c r="AO52" s="12">
        <f>VLOOKUP($B52,'[1]Cost Analysis'!$C:$FO,67,FALSE)</f>
        <v>0</v>
      </c>
      <c r="AP52" s="12">
        <f>VLOOKUP($B52,'[1]Cost Analysis'!$C:$FO,69,FALSE)</f>
        <v>0</v>
      </c>
      <c r="AQ52" s="11">
        <f>VLOOKUP($B52,'[1]Cost Analysis'!$C:$FO,74,FALSE)</f>
        <v>0</v>
      </c>
      <c r="AR52" s="11">
        <f>VLOOKUP($B52,'[1]Cost Analysis'!$C:$FO,75,FALSE)</f>
        <v>0</v>
      </c>
      <c r="AS52" s="10">
        <f>IF(ISERROR(VLOOKUP($B52,'[1]Cost Analysis'!$C:$FO,76,FALSE)),"",VLOOKUP($B52,'[1]Cost Analysis'!$C:$FO,76,FALSE))</f>
        <v>0</v>
      </c>
      <c r="AT52" s="9">
        <f>VLOOKUP($B52,'[1]Cost Analysis'!$C:$FO,78,FALSE)</f>
        <v>0</v>
      </c>
      <c r="AU52" s="9">
        <f>VLOOKUP($B52,'[1]Cost Analysis'!$C:$FO,82,FALSE)</f>
        <v>0</v>
      </c>
      <c r="AV52" s="8">
        <f>VLOOKUP($B52,'[1]Cost Analysis'!$C:$FO,83,FALSE)</f>
        <v>0</v>
      </c>
      <c r="AW52" s="7" t="str">
        <f>IF(VLOOKUP($B52,'[1]Cost Analysis'!$C:$FO,86,FALSE)=0,"",VLOOKUP($B52,'[1]Cost Analysis'!$C:$FO,86,FALSE))</f>
        <v/>
      </c>
      <c r="AX52" s="7" t="str">
        <f>IF(VLOOKUP($B52,'[1]Cost Analysis'!$C:$FO,87,FALSE)=0,"",VLOOKUP($B52,'[1]Cost Analysis'!$C:$FO,87,FALSE))</f>
        <v/>
      </c>
      <c r="AY52" s="7" t="str">
        <f>IF(VLOOKUP($B52,'[1]Cost Analysis'!$C:$FO,88,FALSE)=0,"",VLOOKUP($B52,'[1]Cost Analysis'!$C:$FO,88,FALSE))</f>
        <v/>
      </c>
      <c r="AZ52" s="7" t="str">
        <f>IF(VLOOKUP($B52,'[1]Cost Analysis'!$C:$FO,89,FALSE)=0,"",VLOOKUP($B52,'[1]Cost Analysis'!$C:$FO,89,FALSE))</f>
        <v/>
      </c>
      <c r="BA52" s="7" t="str">
        <f>IF(VLOOKUP($B52,'[1]Cost Analysis'!$C:$FO,90,FALSE)=0,"",VLOOKUP($B52,'[1]Cost Analysis'!$C:$FO,90,FALSE))</f>
        <v/>
      </c>
      <c r="BB52" s="7" t="str">
        <f>IF(VLOOKUP($B52,'[1]Cost Analysis'!$C:$FO,91,FALSE)=0,"",VLOOKUP($B52,'[1]Cost Analysis'!$C:$FO,91,FALSE))</f>
        <v/>
      </c>
      <c r="BC52" s="7" t="str">
        <f>IF(VLOOKUP($B52,'[1]Cost Analysis'!$C:$FO,92,FALSE)=0,"",VLOOKUP($B52,'[1]Cost Analysis'!$C:$FO,92,FALSE))</f>
        <v/>
      </c>
      <c r="BD52" s="7" t="str">
        <f>IF(VLOOKUP($B52,'[1]Cost Analysis'!$C:$FO,93,FALSE)=0,"",VLOOKUP($B52,'[1]Cost Analysis'!$C:$FO,93,FALSE))</f>
        <v/>
      </c>
      <c r="BE52" s="7" t="str">
        <f>IF(VLOOKUP($B52,'[1]Cost Analysis'!$C:$FO,94,FALSE)=0,"",VLOOKUP($B52,'[1]Cost Analysis'!$C:$FO,94,FALSE))</f>
        <v/>
      </c>
      <c r="BF52" s="7" t="str">
        <f>IF(VLOOKUP($B52,'[1]Cost Analysis'!$C:$FO,95,FALSE)=0,"",VLOOKUP($B52,'[1]Cost Analysis'!$C:$FO,95,FALSE))</f>
        <v/>
      </c>
      <c r="BG52" s="7" t="str">
        <f>IF(VLOOKUP($B52,'[1]Cost Analysis'!$C:$FO,96,FALSE)=0,"",VLOOKUP($B52,'[1]Cost Analysis'!$C:$FO,96,FALSE))</f>
        <v/>
      </c>
      <c r="BH52" s="7" t="str">
        <f>IF(VLOOKUP($B52,'[1]Cost Analysis'!$C:$FO,97,FALSE)=0,"",VLOOKUP($B52,'[1]Cost Analysis'!$C:$FO,97,FALSE))</f>
        <v/>
      </c>
      <c r="BI52" s="7" t="str">
        <f>IF(VLOOKUP($B52,'[1]Cost Analysis'!$C:$FO,98,FALSE)=0,"",VLOOKUP($B52,'[1]Cost Analysis'!$C:$FO,98,FALSE))</f>
        <v/>
      </c>
      <c r="BJ52" s="7" t="str">
        <f>IF(VLOOKUP($B52,'[1]Cost Analysis'!$C:$FO,99,FALSE)=0,"",VLOOKUP($B52,'[1]Cost Analysis'!$C:$FO,99,FALSE))</f>
        <v/>
      </c>
      <c r="BK52" s="7" t="str">
        <f>IF(VLOOKUP($B52,'[1]Cost Analysis'!$C:$FO,100,FALSE)=0,"",VLOOKUP($B52,'[1]Cost Analysis'!$C:$FO,100,FALSE))</f>
        <v/>
      </c>
      <c r="BL52" s="7" t="str">
        <f>IF(VLOOKUP($B52,'[1]Cost Analysis'!$C:$FO,101,FALSE)=0,"",VLOOKUP($B52,'[1]Cost Analysis'!$C:$FO,101,FALSE))</f>
        <v/>
      </c>
      <c r="BM52" s="7" t="str">
        <f>IF(VLOOKUP($B52,'[1]Cost Analysis'!$C:$FO,102,FALSE)=0,"",VLOOKUP($B52,'[1]Cost Analysis'!$C:$FO,102,FALSE))</f>
        <v/>
      </c>
      <c r="BN52" s="7" t="str">
        <f>IF(VLOOKUP($B52,'[1]Cost Analysis'!$C:$FO,103,FALSE)=0,"",VLOOKUP($B52,'[1]Cost Analysis'!$C:$FO,103,FALSE))</f>
        <v/>
      </c>
      <c r="BO52" s="7" t="str">
        <f>IF(VLOOKUP($B52,'[1]Cost Analysis'!$C:$FO,104,FALSE)=0,"",VLOOKUP($B52,'[1]Cost Analysis'!$C:$FO,104,FALSE))</f>
        <v/>
      </c>
      <c r="BP52" s="7" t="str">
        <f>IF(VLOOKUP($B52,'[1]Cost Analysis'!$C:$FO,105,FALSE)=0,"",VLOOKUP($B52,'[1]Cost Analysis'!$C:$FO,105,FALSE))</f>
        <v/>
      </c>
      <c r="BQ52" s="7" t="str">
        <f>IF(VLOOKUP($B52,'[1]Cost Analysis'!$C:$FO,106,FALSE)=0,"",VLOOKUP($B52,'[1]Cost Analysis'!$C:$FO,106,FALSE))</f>
        <v/>
      </c>
      <c r="BR52" s="7" t="str">
        <f>IF(VLOOKUP($B52,'[1]Cost Analysis'!$C:$FO,107,FALSE)=0,"",VLOOKUP($B52,'[1]Cost Analysis'!$C:$FO,107,FALSE))</f>
        <v/>
      </c>
      <c r="BS52" s="7" t="str">
        <f>IF(VLOOKUP($B52,'[1]Cost Analysis'!$C:$FO,108,FALSE)=0,"",VLOOKUP($B52,'[1]Cost Analysis'!$C:$FO,108,FALSE))</f>
        <v/>
      </c>
      <c r="BT52" s="7" t="str">
        <f>IF(VLOOKUP($B52,'[1]Cost Analysis'!$C:$FO,109,FALSE)=0,"",VLOOKUP($B52,'[1]Cost Analysis'!$C:$FO,109,FALSE))</f>
        <v/>
      </c>
      <c r="BU52" s="7" t="str">
        <f>IF(VLOOKUP($B52,'[1]Cost Analysis'!$C:$FO,110,FALSE)=0,"",VLOOKUP($B52,'[1]Cost Analysis'!$C:$FO,110,FALSE))</f>
        <v/>
      </c>
      <c r="BV52" s="7" t="str">
        <f>IF(VLOOKUP($B52,'[1]Cost Analysis'!$C:$FO,111,FALSE)=0,"",VLOOKUP($B52,'[1]Cost Analysis'!$C:$FO,111,FALSE))</f>
        <v/>
      </c>
      <c r="BW52" s="7" t="str">
        <f>IF(VLOOKUP($B52,'[1]Cost Analysis'!$C:$FO,112,FALSE)=0,"",VLOOKUP($B52,'[1]Cost Analysis'!$C:$FO,112,FALSE))</f>
        <v/>
      </c>
      <c r="BX52" s="7" t="str">
        <f>IF(VLOOKUP($B52,'[1]Cost Analysis'!$C:$FO,125,FALSE)=0,"",VLOOKUP($B52,'[1]Cost Analysis'!$C:$FO,125,FALSE))</f>
        <v/>
      </c>
      <c r="BY52" s="7" t="str">
        <f>IF(VLOOKUP($B52,'[1]Cost Analysis'!$C:$FO,126,FALSE)=0,"",VLOOKUP($B52,'[1]Cost Analysis'!$C:$FO,126,FALSE))</f>
        <v/>
      </c>
      <c r="BZ52" s="7" t="str">
        <f>IF(VLOOKUP($B52,'[1]Cost Analysis'!$C:$FO,127,FALSE)=0,"",VLOOKUP($B52,'[1]Cost Analysis'!$C:$FO,127,FALSE))</f>
        <v/>
      </c>
      <c r="CA52" s="7" t="str">
        <f>IF(VLOOKUP($B52,'[1]Cost Analysis'!$C:$FO,128,FALSE)=0,"",VLOOKUP($B52,'[1]Cost Analysis'!$C:$FO,128,FALSE))</f>
        <v/>
      </c>
      <c r="CB52" s="7" t="str">
        <f>IF(VLOOKUP($B52,'[1]Cost Analysis'!$C:$FO,129,FALSE)=0,"",VLOOKUP($B52,'[1]Cost Analysis'!$C:$FO,129,FALSE))</f>
        <v/>
      </c>
      <c r="CC52" s="7" t="str">
        <f>IF(VLOOKUP($B52,'[1]Cost Analysis'!$C:$FO,130,FALSE)=0,"",VLOOKUP($B52,'[1]Cost Analysis'!$C:$FO,130,FALSE))</f>
        <v/>
      </c>
      <c r="CD52" s="7" t="str">
        <f>IF(VLOOKUP($B52,'[1]Cost Analysis'!$C:$FO,131,FALSE)=0,"",VLOOKUP($B52,'[1]Cost Analysis'!$C:$FO,131,FALSE))</f>
        <v/>
      </c>
      <c r="CE52" s="7" t="str">
        <f>IF(VLOOKUP($B52,'[1]Cost Analysis'!$C:$FO,132,FALSE)=0,"",VLOOKUP($B52,'[1]Cost Analysis'!$C:$FO,132,FALSE))</f>
        <v/>
      </c>
      <c r="CF52" s="7" t="str">
        <f>IF(VLOOKUP($B52,'[1]Cost Analysis'!$C:$FO,133,FALSE)=0,"",VLOOKUP($B52,'[1]Cost Analysis'!$C:$FO,133,FALSE))</f>
        <v/>
      </c>
      <c r="CG52" s="7" t="str">
        <f>IF(VLOOKUP($B52,'[1]Cost Analysis'!$C:$FO,134,FALSE)=0,"",VLOOKUP($B52,'[1]Cost Analysis'!$C:$FO,134,FALSE))</f>
        <v/>
      </c>
      <c r="CH52" s="7" t="str">
        <f>IF(VLOOKUP($B52,'[1]Cost Analysis'!$C:$FO,135,FALSE)=0,"",VLOOKUP($B52,'[1]Cost Analysis'!$C:$FO,135,FALSE))</f>
        <v/>
      </c>
      <c r="CI52" s="7" t="str">
        <f>IF(VLOOKUP($B52,'[1]Cost Analysis'!$C:$FO,136,FALSE)=0,"",VLOOKUP($B52,'[1]Cost Analysis'!$C:$FO,136,FALSE))</f>
        <v/>
      </c>
      <c r="CJ52" s="7" t="str">
        <f>IF(VLOOKUP($B52,'[1]Cost Analysis'!$C:$FO,137,FALSE)=0,"",VLOOKUP($B52,'[1]Cost Analysis'!$C:$FO,137,FALSE))</f>
        <v/>
      </c>
      <c r="CK52" s="7" t="str">
        <f>IF(VLOOKUP($B52,'[1]Cost Analysis'!$C:$FO,138,FALSE)=0,"",VLOOKUP($B52,'[1]Cost Analysis'!$C:$FO,138,FALSE))</f>
        <v/>
      </c>
      <c r="CL52" s="7" t="str">
        <f>IF(VLOOKUP($B52,'[1]Cost Analysis'!$C:$FO,139,FALSE)=0,"",VLOOKUP($B52,'[1]Cost Analysis'!$C:$FO,139,FALSE))</f>
        <v/>
      </c>
    </row>
    <row r="53" spans="1:90" ht="30" x14ac:dyDescent="0.25">
      <c r="A53" s="13" t="s">
        <v>1</v>
      </c>
      <c r="B53" s="20" t="s">
        <v>5</v>
      </c>
      <c r="C53" s="19" t="str">
        <f>VLOOKUP($B53,'[1]Cost Analysis'!$C:$FO,7,FALSE)</f>
        <v>Proposal</v>
      </c>
      <c r="D53" s="19" t="str">
        <f>VLOOKUP($B53,'[1]Cost Analysis'!$C:$FO,8,FALSE)</f>
        <v>Schematic Design</v>
      </c>
      <c r="E53" s="18">
        <f>IF(ISERROR(VLOOKUP($B53,'[1]Cost Analysis'!$C:$FO,9,FALSE)),"",VLOOKUP($B53,'[1]Cost Analysis'!$C:$FO,9,FALSE))</f>
        <v>215274903</v>
      </c>
      <c r="F53" s="17">
        <f>IF(ISERROR(VLOOKUP($B53,'[1]Cost Analysis'!$C:$FO,10,FALSE)),"",VLOOKUP($B53,'[1]Cost Analysis'!$C:$FO,10,FALSE))</f>
        <v>680.97816377014226</v>
      </c>
      <c r="G53" s="9">
        <f>IF(ISERROR(VLOOKUP($B53,'[1]Cost Analysis'!$C:$FO,12,FALSE)),"",VLOOKUP($B53,'[1]Cost Analysis'!$C:$FO,12,FALSE))</f>
        <v>0</v>
      </c>
      <c r="H53" s="17">
        <f>IF(ISERROR(VLOOKUP($B53,'[1]Cost Analysis'!$C:$FO,13,FALSE)),"",VLOOKUP($B53,'[1]Cost Analysis'!$C:$FO,13,FALSE))</f>
        <v>0</v>
      </c>
      <c r="I53" s="16">
        <f>IF(ISERROR(VLOOKUP($B53,'[1]Cost Analysis'!$C:$FO,14,FALSE)),"",VLOOKUP($B53,'[1]Cost Analysis'!$C:$FO,14,FALSE))</f>
        <v>0</v>
      </c>
      <c r="J53" s="18">
        <f>IF(ISERROR(VLOOKUP($B53,'[1]Cost Analysis'!$C:$FO,15,FALSE)),"",VLOOKUP($B53,'[1]Cost Analysis'!$C:$FO,15,FALSE))</f>
        <v>75035600</v>
      </c>
      <c r="K53" s="16">
        <f>IF(ISERROR(VLOOKUP($B53,'[1]Cost Analysis'!$C:$FO,16,FALSE)),"",VLOOKUP($B53,'[1]Cost Analysis'!$C:$FO,16,FALSE))</f>
        <v>0.34855711908043457</v>
      </c>
      <c r="L53" s="17">
        <f>IF(ISERROR(VLOOKUP($B53,'[1]Cost Analysis'!$C:$FO,17,FALSE)),"",VLOOKUP($B53,'[1]Cost Analysis'!$C:$FO,17,FALSE))</f>
        <v>0</v>
      </c>
      <c r="M53" s="17">
        <f>IF(ISERROR(VLOOKUP($B53,'[1]Cost Analysis'!$C:$FO,18,FALSE)),"",VLOOKUP($B53,'[1]Cost Analysis'!$C:$FO,18,FALSE))</f>
        <v>0</v>
      </c>
      <c r="N53" s="16">
        <f>IF(ISERROR(VLOOKUP($B53,'[1]Cost Analysis'!$C:$FO,19,FALSE)),"",VLOOKUP($B53,'[1]Cost Analysis'!$C:$FO,19,FALSE))</f>
        <v>0</v>
      </c>
      <c r="O53" s="11">
        <f>IF(ISERROR(VLOOKUP($B53,'[1]Cost Analysis'!$C:$FO,36,FALSE)),"",VLOOKUP($B53,'[1]Cost Analysis'!$C:$FO,36,FALSE))</f>
        <v>618015</v>
      </c>
      <c r="P53" s="13" t="str">
        <f>IF(ISERROR(VLOOKUP($B53,'[1]Cost Analysis'!$C:$FO,37,FALSE)),"",VLOOKUP($B53,'[1]Cost Analysis'!$C:$FO,37,FALSE))</f>
        <v xml:space="preserve">Solar PV onsite owned </v>
      </c>
      <c r="Q53" s="11">
        <f>VLOOKUP($B53,'[1]Cost Analysis'!$C:$FO,39,FALSE)</f>
        <v>316126</v>
      </c>
      <c r="R53" s="11">
        <f>VLOOKUP($B53,'[1]Cost Analysis'!$C:$FO,40,FALSE)</f>
        <v>193130</v>
      </c>
      <c r="S53" s="13">
        <f>VLOOKUP($B53,'[1]Cost Analysis'!$C:$FO,41,FALSE)</f>
        <v>1</v>
      </c>
      <c r="T53" s="13">
        <f>VLOOKUP($B53,'[1]Cost Analysis'!$C:$FO,42,FALSE)</f>
        <v>14</v>
      </c>
      <c r="U53" s="13">
        <f>VLOOKUP($B53,'[1]Cost Analysis'!$C:$FO,43,FALSE)</f>
        <v>229</v>
      </c>
      <c r="V53" s="13" t="str">
        <f>VLOOKUP($B53,'[1]Cost Analysis'!$C:$FO,44,FALSE)</f>
        <v>ASHRAE</v>
      </c>
      <c r="W53" s="13" t="str">
        <f>VLOOKUP($B53,'[1]Cost Analysis'!$C:$FO,45,FALSE)</f>
        <v>NYC</v>
      </c>
      <c r="X53" s="15" t="str">
        <f>VLOOKUP($B53,'[1]Cost Analysis'!$C:$FO,46,FALSE)</f>
        <v>All Electric</v>
      </c>
      <c r="Y53" s="14" t="str">
        <f>VLOOKUP($B53,'[1]Cost Analysis'!$C:$FO,47,FALSE)</f>
        <v>LMI</v>
      </c>
      <c r="Z53" s="13" t="str">
        <f>VLOOKUP($B53,'[1]Cost Analysis'!$C:$FO,48,FALSE)</f>
        <v>Yes</v>
      </c>
      <c r="AA53" s="13" t="str">
        <f>VLOOKUP($B53,'[1]Cost Analysis'!$C:$FO,49,FALSE)</f>
        <v>Block and Plank Over Concrete Podium</v>
      </c>
      <c r="AB53" s="13" t="str">
        <f>VLOOKUP($B53,'[1]Cost Analysis'!$C:$FO,50,FALSE)</f>
        <v>VRF - ASHP</v>
      </c>
      <c r="AC53" s="13" t="str">
        <f>VLOOKUP($B53,'[1]Cost Analysis'!$C:$FO,51,FALSE)</f>
        <v>ERV</v>
      </c>
      <c r="AD53" s="13" t="str">
        <f>VLOOKUP($B53,'[1]Cost Analysis'!$C:$FO,52,FALSE)</f>
        <v>ASHP</v>
      </c>
      <c r="AE53" s="13" t="str">
        <f>VLOOKUP($B53,'[1]Cost Analysis'!$C:$FO,53,FALSE)</f>
        <v>Yes</v>
      </c>
      <c r="AF53" s="13" t="str">
        <f>VLOOKUP($B53,'[1]Cost Analysis'!$C:$FO,54,FALSE)</f>
        <v>Mid Rise</v>
      </c>
      <c r="AG53" s="13" t="str">
        <f>IF(VLOOKUP($B53,'[1]Cost Analysis'!$C:$FO,55,FALSE)="PV","Yes","No")</f>
        <v>Yes</v>
      </c>
      <c r="AH53" s="13" t="str">
        <f>VLOOKUP($B53,'[1]Cost Analysis'!$C:$FO,57,FALSE)</f>
        <v>Yes</v>
      </c>
      <c r="AI53" s="13" t="str">
        <f>VLOOKUP($B53,'[1]Cost Analysis'!$C:$FO,58,FALSE)</f>
        <v>No</v>
      </c>
      <c r="AJ53" s="13" t="str">
        <f>VLOOKUP($B53,'[1]Cost Analysis'!$C:$FO,59,FALSE)</f>
        <v>No</v>
      </c>
      <c r="AK53" s="13">
        <f>VLOOKUP($B53,'[1]Cost Analysis'!$C:$FO,60,FALSE)</f>
        <v>4</v>
      </c>
      <c r="AL53" s="13" t="str">
        <f>VLOOKUP($B53,'[1]Cost Analysis'!$C:$FO,61,FALSE)</f>
        <v>No</v>
      </c>
      <c r="AM53" s="13">
        <f>VLOOKUP($B53,'[1]Cost Analysis'!$C:$FO,62,FALSE)</f>
        <v>0</v>
      </c>
      <c r="AN53" s="12" t="str">
        <f>VLOOKUP($B53,'[1]Cost Analysis'!$C:$FO,63,FALSE)</f>
        <v>2020 ECCC NYS</v>
      </c>
      <c r="AO53" s="12">
        <f>VLOOKUP($B53,'[1]Cost Analysis'!$C:$FO,67,FALSE)</f>
        <v>0</v>
      </c>
      <c r="AP53" s="12">
        <f>VLOOKUP($B53,'[1]Cost Analysis'!$C:$FO,69,FALSE)</f>
        <v>0</v>
      </c>
      <c r="AQ53" s="11">
        <f>VLOOKUP($B53,'[1]Cost Analysis'!$C:$FO,74,FALSE)</f>
        <v>0</v>
      </c>
      <c r="AR53" s="11">
        <f>VLOOKUP($B53,'[1]Cost Analysis'!$C:$FO,75,FALSE)</f>
        <v>0</v>
      </c>
      <c r="AS53" s="10">
        <f>IF(ISERROR(VLOOKUP($B53,'[1]Cost Analysis'!$C:$FO,76,FALSE)),"",VLOOKUP($B53,'[1]Cost Analysis'!$C:$FO,76,FALSE))</f>
        <v>0</v>
      </c>
      <c r="AT53" s="9">
        <f>VLOOKUP($B53,'[1]Cost Analysis'!$C:$FO,78,FALSE)</f>
        <v>0</v>
      </c>
      <c r="AU53" s="9">
        <f>VLOOKUP($B53,'[1]Cost Analysis'!$C:$FO,82,FALSE)</f>
        <v>0</v>
      </c>
      <c r="AV53" s="8">
        <f>VLOOKUP($B53,'[1]Cost Analysis'!$C:$FO,83,FALSE)</f>
        <v>0</v>
      </c>
      <c r="AW53" s="7" t="str">
        <f>IF(VLOOKUP($B53,'[1]Cost Analysis'!$C:$FO,86,FALSE)=0,"",VLOOKUP($B53,'[1]Cost Analysis'!$C:$FO,86,FALSE))</f>
        <v/>
      </c>
      <c r="AX53" s="7" t="str">
        <f>IF(VLOOKUP($B53,'[1]Cost Analysis'!$C:$FO,87,FALSE)=0,"",VLOOKUP($B53,'[1]Cost Analysis'!$C:$FO,87,FALSE))</f>
        <v/>
      </c>
      <c r="AY53" s="7" t="str">
        <f>IF(VLOOKUP($B53,'[1]Cost Analysis'!$C:$FO,88,FALSE)=0,"",VLOOKUP($B53,'[1]Cost Analysis'!$C:$FO,88,FALSE))</f>
        <v/>
      </c>
      <c r="AZ53" s="7" t="str">
        <f>IF(VLOOKUP($B53,'[1]Cost Analysis'!$C:$FO,89,FALSE)=0,"",VLOOKUP($B53,'[1]Cost Analysis'!$C:$FO,89,FALSE))</f>
        <v/>
      </c>
      <c r="BA53" s="7" t="str">
        <f>IF(VLOOKUP($B53,'[1]Cost Analysis'!$C:$FO,90,FALSE)=0,"",VLOOKUP($B53,'[1]Cost Analysis'!$C:$FO,90,FALSE))</f>
        <v/>
      </c>
      <c r="BB53" s="7" t="str">
        <f>IF(VLOOKUP($B53,'[1]Cost Analysis'!$C:$FO,91,FALSE)=0,"",VLOOKUP($B53,'[1]Cost Analysis'!$C:$FO,91,FALSE))</f>
        <v/>
      </c>
      <c r="BC53" s="7" t="str">
        <f>IF(VLOOKUP($B53,'[1]Cost Analysis'!$C:$FO,92,FALSE)=0,"",VLOOKUP($B53,'[1]Cost Analysis'!$C:$FO,92,FALSE))</f>
        <v/>
      </c>
      <c r="BD53" s="7" t="str">
        <f>IF(VLOOKUP($B53,'[1]Cost Analysis'!$C:$FO,93,FALSE)=0,"",VLOOKUP($B53,'[1]Cost Analysis'!$C:$FO,93,FALSE))</f>
        <v/>
      </c>
      <c r="BE53" s="7" t="str">
        <f>IF(VLOOKUP($B53,'[1]Cost Analysis'!$C:$FO,94,FALSE)=0,"",VLOOKUP($B53,'[1]Cost Analysis'!$C:$FO,94,FALSE))</f>
        <v/>
      </c>
      <c r="BF53" s="7" t="str">
        <f>IF(VLOOKUP($B53,'[1]Cost Analysis'!$C:$FO,95,FALSE)=0,"",VLOOKUP($B53,'[1]Cost Analysis'!$C:$FO,95,FALSE))</f>
        <v/>
      </c>
      <c r="BG53" s="7" t="str">
        <f>IF(VLOOKUP($B53,'[1]Cost Analysis'!$C:$FO,96,FALSE)=0,"",VLOOKUP($B53,'[1]Cost Analysis'!$C:$FO,96,FALSE))</f>
        <v/>
      </c>
      <c r="BH53" s="7" t="str">
        <f>IF(VLOOKUP($B53,'[1]Cost Analysis'!$C:$FO,97,FALSE)=0,"",VLOOKUP($B53,'[1]Cost Analysis'!$C:$FO,97,FALSE))</f>
        <v/>
      </c>
      <c r="BI53" s="7" t="str">
        <f>IF(VLOOKUP($B53,'[1]Cost Analysis'!$C:$FO,98,FALSE)=0,"",VLOOKUP($B53,'[1]Cost Analysis'!$C:$FO,98,FALSE))</f>
        <v/>
      </c>
      <c r="BJ53" s="7" t="str">
        <f>IF(VLOOKUP($B53,'[1]Cost Analysis'!$C:$FO,99,FALSE)=0,"",VLOOKUP($B53,'[1]Cost Analysis'!$C:$FO,99,FALSE))</f>
        <v/>
      </c>
      <c r="BK53" s="7" t="str">
        <f>IF(VLOOKUP($B53,'[1]Cost Analysis'!$C:$FO,100,FALSE)=0,"",VLOOKUP($B53,'[1]Cost Analysis'!$C:$FO,100,FALSE))</f>
        <v/>
      </c>
      <c r="BL53" s="7" t="str">
        <f>IF(VLOOKUP($B53,'[1]Cost Analysis'!$C:$FO,101,FALSE)=0,"",VLOOKUP($B53,'[1]Cost Analysis'!$C:$FO,101,FALSE))</f>
        <v/>
      </c>
      <c r="BM53" s="7" t="str">
        <f>IF(VLOOKUP($B53,'[1]Cost Analysis'!$C:$FO,102,FALSE)=0,"",VLOOKUP($B53,'[1]Cost Analysis'!$C:$FO,102,FALSE))</f>
        <v/>
      </c>
      <c r="BN53" s="7" t="str">
        <f>IF(VLOOKUP($B53,'[1]Cost Analysis'!$C:$FO,103,FALSE)=0,"",VLOOKUP($B53,'[1]Cost Analysis'!$C:$FO,103,FALSE))</f>
        <v/>
      </c>
      <c r="BO53" s="7" t="str">
        <f>IF(VLOOKUP($B53,'[1]Cost Analysis'!$C:$FO,104,FALSE)=0,"",VLOOKUP($B53,'[1]Cost Analysis'!$C:$FO,104,FALSE))</f>
        <v/>
      </c>
      <c r="BP53" s="7" t="str">
        <f>IF(VLOOKUP($B53,'[1]Cost Analysis'!$C:$FO,105,FALSE)=0,"",VLOOKUP($B53,'[1]Cost Analysis'!$C:$FO,105,FALSE))</f>
        <v/>
      </c>
      <c r="BQ53" s="7" t="str">
        <f>IF(VLOOKUP($B53,'[1]Cost Analysis'!$C:$FO,106,FALSE)=0,"",VLOOKUP($B53,'[1]Cost Analysis'!$C:$FO,106,FALSE))</f>
        <v/>
      </c>
      <c r="BR53" s="7" t="str">
        <f>IF(VLOOKUP($B53,'[1]Cost Analysis'!$C:$FO,107,FALSE)=0,"",VLOOKUP($B53,'[1]Cost Analysis'!$C:$FO,107,FALSE))</f>
        <v/>
      </c>
      <c r="BS53" s="7" t="str">
        <f>IF(VLOOKUP($B53,'[1]Cost Analysis'!$C:$FO,108,FALSE)=0,"",VLOOKUP($B53,'[1]Cost Analysis'!$C:$FO,108,FALSE))</f>
        <v/>
      </c>
      <c r="BT53" s="7" t="str">
        <f>IF(VLOOKUP($B53,'[1]Cost Analysis'!$C:$FO,109,FALSE)=0,"",VLOOKUP($B53,'[1]Cost Analysis'!$C:$FO,109,FALSE))</f>
        <v/>
      </c>
      <c r="BU53" s="7" t="str">
        <f>IF(VLOOKUP($B53,'[1]Cost Analysis'!$C:$FO,110,FALSE)=0,"",VLOOKUP($B53,'[1]Cost Analysis'!$C:$FO,110,FALSE))</f>
        <v/>
      </c>
      <c r="BV53" s="7" t="str">
        <f>IF(VLOOKUP($B53,'[1]Cost Analysis'!$C:$FO,111,FALSE)=0,"",VLOOKUP($B53,'[1]Cost Analysis'!$C:$FO,111,FALSE))</f>
        <v/>
      </c>
      <c r="BW53" s="7" t="str">
        <f>IF(VLOOKUP($B53,'[1]Cost Analysis'!$C:$FO,112,FALSE)=0,"",VLOOKUP($B53,'[1]Cost Analysis'!$C:$FO,112,FALSE))</f>
        <v/>
      </c>
      <c r="BX53" s="7" t="str">
        <f>IF(VLOOKUP($B53,'[1]Cost Analysis'!$C:$FO,125,FALSE)=0,"",VLOOKUP($B53,'[1]Cost Analysis'!$C:$FO,125,FALSE))</f>
        <v/>
      </c>
      <c r="BY53" s="7" t="str">
        <f>IF(VLOOKUP($B53,'[1]Cost Analysis'!$C:$FO,126,FALSE)=0,"",VLOOKUP($B53,'[1]Cost Analysis'!$C:$FO,126,FALSE))</f>
        <v/>
      </c>
      <c r="BZ53" s="7" t="str">
        <f>IF(VLOOKUP($B53,'[1]Cost Analysis'!$C:$FO,127,FALSE)=0,"",VLOOKUP($B53,'[1]Cost Analysis'!$C:$FO,127,FALSE))</f>
        <v/>
      </c>
      <c r="CA53" s="7" t="str">
        <f>IF(VLOOKUP($B53,'[1]Cost Analysis'!$C:$FO,128,FALSE)=0,"",VLOOKUP($B53,'[1]Cost Analysis'!$C:$FO,128,FALSE))</f>
        <v/>
      </c>
      <c r="CB53" s="7" t="str">
        <f>IF(VLOOKUP($B53,'[1]Cost Analysis'!$C:$FO,129,FALSE)=0,"",VLOOKUP($B53,'[1]Cost Analysis'!$C:$FO,129,FALSE))</f>
        <v/>
      </c>
      <c r="CC53" s="7" t="str">
        <f>IF(VLOOKUP($B53,'[1]Cost Analysis'!$C:$FO,130,FALSE)=0,"",VLOOKUP($B53,'[1]Cost Analysis'!$C:$FO,130,FALSE))</f>
        <v/>
      </c>
      <c r="CD53" s="7" t="str">
        <f>IF(VLOOKUP($B53,'[1]Cost Analysis'!$C:$FO,131,FALSE)=0,"",VLOOKUP($B53,'[1]Cost Analysis'!$C:$FO,131,FALSE))</f>
        <v/>
      </c>
      <c r="CE53" s="7" t="str">
        <f>IF(VLOOKUP($B53,'[1]Cost Analysis'!$C:$FO,132,FALSE)=0,"",VLOOKUP($B53,'[1]Cost Analysis'!$C:$FO,132,FALSE))</f>
        <v/>
      </c>
      <c r="CF53" s="7" t="str">
        <f>IF(VLOOKUP($B53,'[1]Cost Analysis'!$C:$FO,133,FALSE)=0,"",VLOOKUP($B53,'[1]Cost Analysis'!$C:$FO,133,FALSE))</f>
        <v/>
      </c>
      <c r="CG53" s="7" t="str">
        <f>IF(VLOOKUP($B53,'[1]Cost Analysis'!$C:$FO,134,FALSE)=0,"",VLOOKUP($B53,'[1]Cost Analysis'!$C:$FO,134,FALSE))</f>
        <v/>
      </c>
      <c r="CH53" s="7" t="str">
        <f>IF(VLOOKUP($B53,'[1]Cost Analysis'!$C:$FO,135,FALSE)=0,"",VLOOKUP($B53,'[1]Cost Analysis'!$C:$FO,135,FALSE))</f>
        <v/>
      </c>
      <c r="CI53" s="7" t="str">
        <f>IF(VLOOKUP($B53,'[1]Cost Analysis'!$C:$FO,136,FALSE)=0,"",VLOOKUP($B53,'[1]Cost Analysis'!$C:$FO,136,FALSE))</f>
        <v/>
      </c>
      <c r="CJ53" s="7" t="str">
        <f>IF(VLOOKUP($B53,'[1]Cost Analysis'!$C:$FO,137,FALSE)=0,"",VLOOKUP($B53,'[1]Cost Analysis'!$C:$FO,137,FALSE))</f>
        <v/>
      </c>
      <c r="CK53" s="7" t="str">
        <f>IF(VLOOKUP($B53,'[1]Cost Analysis'!$C:$FO,138,FALSE)=0,"",VLOOKUP($B53,'[1]Cost Analysis'!$C:$FO,138,FALSE))</f>
        <v/>
      </c>
      <c r="CL53" s="7" t="str">
        <f>IF(VLOOKUP($B53,'[1]Cost Analysis'!$C:$FO,139,FALSE)=0,"",VLOOKUP($B53,'[1]Cost Analysis'!$C:$FO,139,FALSE))</f>
        <v/>
      </c>
    </row>
    <row r="54" spans="1:90" ht="30" x14ac:dyDescent="0.25">
      <c r="A54" s="13" t="s">
        <v>1</v>
      </c>
      <c r="B54" s="20" t="s">
        <v>4</v>
      </c>
      <c r="C54" s="19" t="str">
        <f>VLOOKUP($B54,'[1]Cost Analysis'!$C:$FO,7,FALSE)</f>
        <v>Proposal</v>
      </c>
      <c r="D54" s="19" t="str">
        <f>VLOOKUP($B54,'[1]Cost Analysis'!$C:$FO,8,FALSE)</f>
        <v>Schematic Design</v>
      </c>
      <c r="E54" s="18">
        <f>IF(ISERROR(VLOOKUP($B54,'[1]Cost Analysis'!$C:$FO,9,FALSE)),"",VLOOKUP($B54,'[1]Cost Analysis'!$C:$FO,9,FALSE))</f>
        <v>23406748</v>
      </c>
      <c r="F54" s="17">
        <f>IF(ISERROR(VLOOKUP($B54,'[1]Cost Analysis'!$C:$FO,10,FALSE)),"",VLOOKUP($B54,'[1]Cost Analysis'!$C:$FO,10,FALSE))</f>
        <v>383.79897355174052</v>
      </c>
      <c r="G54" s="9">
        <f>IF(ISERROR(VLOOKUP($B54,'[1]Cost Analysis'!$C:$FO,12,FALSE)),"",VLOOKUP($B54,'[1]Cost Analysis'!$C:$FO,12,FALSE))</f>
        <v>0</v>
      </c>
      <c r="H54" s="17">
        <f>IF(ISERROR(VLOOKUP($B54,'[1]Cost Analysis'!$C:$FO,13,FALSE)),"",VLOOKUP($B54,'[1]Cost Analysis'!$C:$FO,13,FALSE))</f>
        <v>0</v>
      </c>
      <c r="I54" s="16">
        <f>IF(ISERROR(VLOOKUP($B54,'[1]Cost Analysis'!$C:$FO,14,FALSE)),"",VLOOKUP($B54,'[1]Cost Analysis'!$C:$FO,14,FALSE))</f>
        <v>0</v>
      </c>
      <c r="J54" s="18">
        <f>IF(ISERROR(VLOOKUP($B54,'[1]Cost Analysis'!$C:$FO,15,FALSE)),"",VLOOKUP($B54,'[1]Cost Analysis'!$C:$FO,15,FALSE))</f>
        <v>1707380</v>
      </c>
      <c r="K54" s="16">
        <f>IF(ISERROR(VLOOKUP($B54,'[1]Cost Analysis'!$C:$FO,16,FALSE)),"",VLOOKUP($B54,'[1]Cost Analysis'!$C:$FO,16,FALSE))</f>
        <v>7.294392198352373E-2</v>
      </c>
      <c r="L54" s="17">
        <f>IF(ISERROR(VLOOKUP($B54,'[1]Cost Analysis'!$C:$FO,17,FALSE)),"",VLOOKUP($B54,'[1]Cost Analysis'!$C:$FO,17,FALSE))</f>
        <v>0</v>
      </c>
      <c r="M54" s="17">
        <f>IF(ISERROR(VLOOKUP($B54,'[1]Cost Analysis'!$C:$FO,18,FALSE)),"",VLOOKUP($B54,'[1]Cost Analysis'!$C:$FO,18,FALSE))</f>
        <v>0</v>
      </c>
      <c r="N54" s="16">
        <f>IF(ISERROR(VLOOKUP($B54,'[1]Cost Analysis'!$C:$FO,19,FALSE)),"",VLOOKUP($B54,'[1]Cost Analysis'!$C:$FO,19,FALSE))</f>
        <v>0</v>
      </c>
      <c r="O54" s="11">
        <f>IF(ISERROR(VLOOKUP($B54,'[1]Cost Analysis'!$C:$FO,36,FALSE)),"",VLOOKUP($B54,'[1]Cost Analysis'!$C:$FO,36,FALSE))</f>
        <v>229515</v>
      </c>
      <c r="P54" s="13" t="str">
        <f>IF(ISERROR(VLOOKUP($B54,'[1]Cost Analysis'!$C:$FO,37,FALSE)),"",VLOOKUP($B54,'[1]Cost Analysis'!$C:$FO,37,FALSE))</f>
        <v xml:space="preserve">Solar PV onsite owned </v>
      </c>
      <c r="Q54" s="11">
        <f>VLOOKUP($B54,'[1]Cost Analysis'!$C:$FO,39,FALSE)</f>
        <v>60987</v>
      </c>
      <c r="R54" s="11">
        <f>VLOOKUP($B54,'[1]Cost Analysis'!$C:$FO,40,FALSE)</f>
        <v>51535</v>
      </c>
      <c r="S54" s="13">
        <f>VLOOKUP($B54,'[1]Cost Analysis'!$C:$FO,41,FALSE)</f>
        <v>1</v>
      </c>
      <c r="T54" s="13">
        <f>VLOOKUP($B54,'[1]Cost Analysis'!$C:$FO,42,FALSE)</f>
        <v>5</v>
      </c>
      <c r="U54" s="13">
        <f>VLOOKUP($B54,'[1]Cost Analysis'!$C:$FO,43,FALSE)</f>
        <v>59</v>
      </c>
      <c r="V54" s="13" t="str">
        <f>VLOOKUP($B54,'[1]Cost Analysis'!$C:$FO,44,FALSE)</f>
        <v>Phius</v>
      </c>
      <c r="W54" s="13" t="str">
        <f>VLOOKUP($B54,'[1]Cost Analysis'!$C:$FO,45,FALSE)</f>
        <v>Finger Lakes</v>
      </c>
      <c r="X54" s="15" t="str">
        <f>VLOOKUP($B54,'[1]Cost Analysis'!$C:$FO,46,FALSE)</f>
        <v>All Electric</v>
      </c>
      <c r="Y54" s="14" t="str">
        <f>VLOOKUP($B54,'[1]Cost Analysis'!$C:$FO,47,FALSE)</f>
        <v>LMI</v>
      </c>
      <c r="Z54" s="13" t="str">
        <f>VLOOKUP($B54,'[1]Cost Analysis'!$C:$FO,48,FALSE)</f>
        <v>Yes</v>
      </c>
      <c r="AA54" s="13" t="str">
        <f>VLOOKUP($B54,'[1]Cost Analysis'!$C:$FO,49,FALSE)</f>
        <v>Wood Frame Over Masonry Podium</v>
      </c>
      <c r="AB54" s="13" t="str">
        <f>VLOOKUP($B54,'[1]Cost Analysis'!$C:$FO,50,FALSE)</f>
        <v>Minisplit - ASHP</v>
      </c>
      <c r="AC54" s="13" t="str">
        <f>VLOOKUP($B54,'[1]Cost Analysis'!$C:$FO,51,FALSE)</f>
        <v>ERV</v>
      </c>
      <c r="AD54" s="13" t="str">
        <f>VLOOKUP($B54,'[1]Cost Analysis'!$C:$FO,52,FALSE)</f>
        <v xml:space="preserve">ASHP w/ CO2 </v>
      </c>
      <c r="AE54" s="13" t="str">
        <f>VLOOKUP($B54,'[1]Cost Analysis'!$C:$FO,53,FALSE)</f>
        <v>Yes</v>
      </c>
      <c r="AF54" s="13" t="str">
        <f>VLOOKUP($B54,'[1]Cost Analysis'!$C:$FO,54,FALSE)</f>
        <v>Mid Rise</v>
      </c>
      <c r="AG54" s="13" t="str">
        <f>IF(VLOOKUP($B54,'[1]Cost Analysis'!$C:$FO,55,FALSE)="PV","Yes","No")</f>
        <v>Yes</v>
      </c>
      <c r="AH54" s="13" t="str">
        <f>VLOOKUP($B54,'[1]Cost Analysis'!$C:$FO,57,FALSE)</f>
        <v>Yes</v>
      </c>
      <c r="AI54" s="13" t="str">
        <f>VLOOKUP($B54,'[1]Cost Analysis'!$C:$FO,58,FALSE)</f>
        <v>No</v>
      </c>
      <c r="AJ54" s="13" t="str">
        <f>VLOOKUP($B54,'[1]Cost Analysis'!$C:$FO,59,FALSE)</f>
        <v>No</v>
      </c>
      <c r="AK54" s="13">
        <f>VLOOKUP($B54,'[1]Cost Analysis'!$C:$FO,60,FALSE)</f>
        <v>5</v>
      </c>
      <c r="AL54" s="13" t="str">
        <f>VLOOKUP($B54,'[1]Cost Analysis'!$C:$FO,61,FALSE)</f>
        <v>No</v>
      </c>
      <c r="AM54" s="13">
        <f>VLOOKUP($B54,'[1]Cost Analysis'!$C:$FO,62,FALSE)</f>
        <v>0</v>
      </c>
      <c r="AN54" s="12" t="str">
        <f>VLOOKUP($B54,'[1]Cost Analysis'!$C:$FO,63,FALSE)</f>
        <v>2020 ECCC NYS</v>
      </c>
      <c r="AO54" s="12">
        <f>VLOOKUP($B54,'[1]Cost Analysis'!$C:$FO,67,FALSE)</f>
        <v>0</v>
      </c>
      <c r="AP54" s="12">
        <f>VLOOKUP($B54,'[1]Cost Analysis'!$C:$FO,69,FALSE)</f>
        <v>0</v>
      </c>
      <c r="AQ54" s="11">
        <f>VLOOKUP($B54,'[1]Cost Analysis'!$C:$FO,74,FALSE)</f>
        <v>0</v>
      </c>
      <c r="AR54" s="11">
        <f>VLOOKUP($B54,'[1]Cost Analysis'!$C:$FO,75,FALSE)</f>
        <v>0</v>
      </c>
      <c r="AS54" s="10">
        <f>IF(ISERROR(VLOOKUP($B54,'[1]Cost Analysis'!$C:$FO,76,FALSE)),"",VLOOKUP($B54,'[1]Cost Analysis'!$C:$FO,76,FALSE))</f>
        <v>0</v>
      </c>
      <c r="AT54" s="9">
        <f>VLOOKUP($B54,'[1]Cost Analysis'!$C:$FO,78,FALSE)</f>
        <v>0</v>
      </c>
      <c r="AU54" s="9">
        <f>VLOOKUP($B54,'[1]Cost Analysis'!$C:$FO,82,FALSE)</f>
        <v>0</v>
      </c>
      <c r="AV54" s="8">
        <f>VLOOKUP($B54,'[1]Cost Analysis'!$C:$FO,83,FALSE)</f>
        <v>0</v>
      </c>
      <c r="AW54" s="7" t="str">
        <f>IF(VLOOKUP($B54,'[1]Cost Analysis'!$C:$FO,86,FALSE)=0,"",VLOOKUP($B54,'[1]Cost Analysis'!$C:$FO,86,FALSE))</f>
        <v/>
      </c>
      <c r="AX54" s="7" t="str">
        <f>IF(VLOOKUP($B54,'[1]Cost Analysis'!$C:$FO,87,FALSE)=0,"",VLOOKUP($B54,'[1]Cost Analysis'!$C:$FO,87,FALSE))</f>
        <v/>
      </c>
      <c r="AY54" s="7" t="str">
        <f>IF(VLOOKUP($B54,'[1]Cost Analysis'!$C:$FO,88,FALSE)=0,"",VLOOKUP($B54,'[1]Cost Analysis'!$C:$FO,88,FALSE))</f>
        <v/>
      </c>
      <c r="AZ54" s="7" t="str">
        <f>IF(VLOOKUP($B54,'[1]Cost Analysis'!$C:$FO,89,FALSE)=0,"",VLOOKUP($B54,'[1]Cost Analysis'!$C:$FO,89,FALSE))</f>
        <v/>
      </c>
      <c r="BA54" s="7" t="str">
        <f>IF(VLOOKUP($B54,'[1]Cost Analysis'!$C:$FO,90,FALSE)=0,"",VLOOKUP($B54,'[1]Cost Analysis'!$C:$FO,90,FALSE))</f>
        <v/>
      </c>
      <c r="BB54" s="7" t="str">
        <f>IF(VLOOKUP($B54,'[1]Cost Analysis'!$C:$FO,91,FALSE)=0,"",VLOOKUP($B54,'[1]Cost Analysis'!$C:$FO,91,FALSE))</f>
        <v/>
      </c>
      <c r="BC54" s="7" t="str">
        <f>IF(VLOOKUP($B54,'[1]Cost Analysis'!$C:$FO,92,FALSE)=0,"",VLOOKUP($B54,'[1]Cost Analysis'!$C:$FO,92,FALSE))</f>
        <v/>
      </c>
      <c r="BD54" s="7" t="str">
        <f>IF(VLOOKUP($B54,'[1]Cost Analysis'!$C:$FO,93,FALSE)=0,"",VLOOKUP($B54,'[1]Cost Analysis'!$C:$FO,93,FALSE))</f>
        <v/>
      </c>
      <c r="BE54" s="7" t="str">
        <f>IF(VLOOKUP($B54,'[1]Cost Analysis'!$C:$FO,94,FALSE)=0,"",VLOOKUP($B54,'[1]Cost Analysis'!$C:$FO,94,FALSE))</f>
        <v/>
      </c>
      <c r="BF54" s="7" t="str">
        <f>IF(VLOOKUP($B54,'[1]Cost Analysis'!$C:$FO,95,FALSE)=0,"",VLOOKUP($B54,'[1]Cost Analysis'!$C:$FO,95,FALSE))</f>
        <v/>
      </c>
      <c r="BG54" s="7" t="str">
        <f>IF(VLOOKUP($B54,'[1]Cost Analysis'!$C:$FO,96,FALSE)=0,"",VLOOKUP($B54,'[1]Cost Analysis'!$C:$FO,96,FALSE))</f>
        <v/>
      </c>
      <c r="BH54" s="7" t="str">
        <f>IF(VLOOKUP($B54,'[1]Cost Analysis'!$C:$FO,97,FALSE)=0,"",VLOOKUP($B54,'[1]Cost Analysis'!$C:$FO,97,FALSE))</f>
        <v/>
      </c>
      <c r="BI54" s="7" t="str">
        <f>IF(VLOOKUP($B54,'[1]Cost Analysis'!$C:$FO,98,FALSE)=0,"",VLOOKUP($B54,'[1]Cost Analysis'!$C:$FO,98,FALSE))</f>
        <v/>
      </c>
      <c r="BJ54" s="7" t="str">
        <f>IF(VLOOKUP($B54,'[1]Cost Analysis'!$C:$FO,99,FALSE)=0,"",VLOOKUP($B54,'[1]Cost Analysis'!$C:$FO,99,FALSE))</f>
        <v/>
      </c>
      <c r="BK54" s="7" t="str">
        <f>IF(VLOOKUP($B54,'[1]Cost Analysis'!$C:$FO,100,FALSE)=0,"",VLOOKUP($B54,'[1]Cost Analysis'!$C:$FO,100,FALSE))</f>
        <v/>
      </c>
      <c r="BL54" s="7" t="str">
        <f>IF(VLOOKUP($B54,'[1]Cost Analysis'!$C:$FO,101,FALSE)=0,"",VLOOKUP($B54,'[1]Cost Analysis'!$C:$FO,101,FALSE))</f>
        <v/>
      </c>
      <c r="BM54" s="7" t="str">
        <f>IF(VLOOKUP($B54,'[1]Cost Analysis'!$C:$FO,102,FALSE)=0,"",VLOOKUP($B54,'[1]Cost Analysis'!$C:$FO,102,FALSE))</f>
        <v/>
      </c>
      <c r="BN54" s="7" t="str">
        <f>IF(VLOOKUP($B54,'[1]Cost Analysis'!$C:$FO,103,FALSE)=0,"",VLOOKUP($B54,'[1]Cost Analysis'!$C:$FO,103,FALSE))</f>
        <v/>
      </c>
      <c r="BO54" s="7" t="str">
        <f>IF(VLOOKUP($B54,'[1]Cost Analysis'!$C:$FO,104,FALSE)=0,"",VLOOKUP($B54,'[1]Cost Analysis'!$C:$FO,104,FALSE))</f>
        <v/>
      </c>
      <c r="BP54" s="7" t="str">
        <f>IF(VLOOKUP($B54,'[1]Cost Analysis'!$C:$FO,105,FALSE)=0,"",VLOOKUP($B54,'[1]Cost Analysis'!$C:$FO,105,FALSE))</f>
        <v/>
      </c>
      <c r="BQ54" s="7" t="str">
        <f>IF(VLOOKUP($B54,'[1]Cost Analysis'!$C:$FO,106,FALSE)=0,"",VLOOKUP($B54,'[1]Cost Analysis'!$C:$FO,106,FALSE))</f>
        <v/>
      </c>
      <c r="BR54" s="7" t="str">
        <f>IF(VLOOKUP($B54,'[1]Cost Analysis'!$C:$FO,107,FALSE)=0,"",VLOOKUP($B54,'[1]Cost Analysis'!$C:$FO,107,FALSE))</f>
        <v/>
      </c>
      <c r="BS54" s="7" t="str">
        <f>IF(VLOOKUP($B54,'[1]Cost Analysis'!$C:$FO,108,FALSE)=0,"",VLOOKUP($B54,'[1]Cost Analysis'!$C:$FO,108,FALSE))</f>
        <v/>
      </c>
      <c r="BT54" s="7" t="str">
        <f>IF(VLOOKUP($B54,'[1]Cost Analysis'!$C:$FO,109,FALSE)=0,"",VLOOKUP($B54,'[1]Cost Analysis'!$C:$FO,109,FALSE))</f>
        <v/>
      </c>
      <c r="BU54" s="7" t="str">
        <f>IF(VLOOKUP($B54,'[1]Cost Analysis'!$C:$FO,110,FALSE)=0,"",VLOOKUP($B54,'[1]Cost Analysis'!$C:$FO,110,FALSE))</f>
        <v/>
      </c>
      <c r="BV54" s="7" t="str">
        <f>IF(VLOOKUP($B54,'[1]Cost Analysis'!$C:$FO,111,FALSE)=0,"",VLOOKUP($B54,'[1]Cost Analysis'!$C:$FO,111,FALSE))</f>
        <v/>
      </c>
      <c r="BW54" s="7" t="str">
        <f>IF(VLOOKUP($B54,'[1]Cost Analysis'!$C:$FO,112,FALSE)=0,"",VLOOKUP($B54,'[1]Cost Analysis'!$C:$FO,112,FALSE))</f>
        <v/>
      </c>
      <c r="BX54" s="7" t="str">
        <f>IF(VLOOKUP($B54,'[1]Cost Analysis'!$C:$FO,125,FALSE)=0,"",VLOOKUP($B54,'[1]Cost Analysis'!$C:$FO,125,FALSE))</f>
        <v/>
      </c>
      <c r="BY54" s="7" t="str">
        <f>IF(VLOOKUP($B54,'[1]Cost Analysis'!$C:$FO,126,FALSE)=0,"",VLOOKUP($B54,'[1]Cost Analysis'!$C:$FO,126,FALSE))</f>
        <v/>
      </c>
      <c r="BZ54" s="7" t="str">
        <f>IF(VLOOKUP($B54,'[1]Cost Analysis'!$C:$FO,127,FALSE)=0,"",VLOOKUP($B54,'[1]Cost Analysis'!$C:$FO,127,FALSE))</f>
        <v/>
      </c>
      <c r="CA54" s="7" t="str">
        <f>IF(VLOOKUP($B54,'[1]Cost Analysis'!$C:$FO,128,FALSE)=0,"",VLOOKUP($B54,'[1]Cost Analysis'!$C:$FO,128,FALSE))</f>
        <v/>
      </c>
      <c r="CB54" s="7" t="str">
        <f>IF(VLOOKUP($B54,'[1]Cost Analysis'!$C:$FO,129,FALSE)=0,"",VLOOKUP($B54,'[1]Cost Analysis'!$C:$FO,129,FALSE))</f>
        <v/>
      </c>
      <c r="CC54" s="7" t="str">
        <f>IF(VLOOKUP($B54,'[1]Cost Analysis'!$C:$FO,130,FALSE)=0,"",VLOOKUP($B54,'[1]Cost Analysis'!$C:$FO,130,FALSE))</f>
        <v/>
      </c>
      <c r="CD54" s="7" t="str">
        <f>IF(VLOOKUP($B54,'[1]Cost Analysis'!$C:$FO,131,FALSE)=0,"",VLOOKUP($B54,'[1]Cost Analysis'!$C:$FO,131,FALSE))</f>
        <v/>
      </c>
      <c r="CE54" s="7" t="str">
        <f>IF(VLOOKUP($B54,'[1]Cost Analysis'!$C:$FO,132,FALSE)=0,"",VLOOKUP($B54,'[1]Cost Analysis'!$C:$FO,132,FALSE))</f>
        <v/>
      </c>
      <c r="CF54" s="7" t="str">
        <f>IF(VLOOKUP($B54,'[1]Cost Analysis'!$C:$FO,133,FALSE)=0,"",VLOOKUP($B54,'[1]Cost Analysis'!$C:$FO,133,FALSE))</f>
        <v/>
      </c>
      <c r="CG54" s="7" t="str">
        <f>IF(VLOOKUP($B54,'[1]Cost Analysis'!$C:$FO,134,FALSE)=0,"",VLOOKUP($B54,'[1]Cost Analysis'!$C:$FO,134,FALSE))</f>
        <v/>
      </c>
      <c r="CH54" s="7" t="str">
        <f>IF(VLOOKUP($B54,'[1]Cost Analysis'!$C:$FO,135,FALSE)=0,"",VLOOKUP($B54,'[1]Cost Analysis'!$C:$FO,135,FALSE))</f>
        <v/>
      </c>
      <c r="CI54" s="7" t="str">
        <f>IF(VLOOKUP($B54,'[1]Cost Analysis'!$C:$FO,136,FALSE)=0,"",VLOOKUP($B54,'[1]Cost Analysis'!$C:$FO,136,FALSE))</f>
        <v/>
      </c>
      <c r="CJ54" s="7" t="str">
        <f>IF(VLOOKUP($B54,'[1]Cost Analysis'!$C:$FO,137,FALSE)=0,"",VLOOKUP($B54,'[1]Cost Analysis'!$C:$FO,137,FALSE))</f>
        <v/>
      </c>
      <c r="CK54" s="7" t="str">
        <f>IF(VLOOKUP($B54,'[1]Cost Analysis'!$C:$FO,138,FALSE)=0,"",VLOOKUP($B54,'[1]Cost Analysis'!$C:$FO,138,FALSE))</f>
        <v/>
      </c>
      <c r="CL54" s="7" t="str">
        <f>IF(VLOOKUP($B54,'[1]Cost Analysis'!$C:$FO,139,FALSE)=0,"",VLOOKUP($B54,'[1]Cost Analysis'!$C:$FO,139,FALSE))</f>
        <v/>
      </c>
    </row>
    <row r="55" spans="1:90" ht="75" x14ac:dyDescent="0.25">
      <c r="A55" s="13" t="s">
        <v>1</v>
      </c>
      <c r="B55" s="20" t="s">
        <v>3</v>
      </c>
      <c r="C55" s="19" t="str">
        <f>VLOOKUP($B55,'[1]Cost Analysis'!$C:$FO,7,FALSE)</f>
        <v>Proposal</v>
      </c>
      <c r="D55" s="19" t="str">
        <f>VLOOKUP($B55,'[1]Cost Analysis'!$C:$FO,8,FALSE)</f>
        <v>Schematic Design</v>
      </c>
      <c r="E55" s="18">
        <f>IF(ISERROR(VLOOKUP($B55,'[1]Cost Analysis'!$C:$FO,9,FALSE)),"",VLOOKUP($B55,'[1]Cost Analysis'!$C:$FO,9,FALSE))</f>
        <v>97000000</v>
      </c>
      <c r="F55" s="17">
        <f>IF(ISERROR(VLOOKUP($B55,'[1]Cost Analysis'!$C:$FO,10,FALSE)),"",VLOOKUP($B55,'[1]Cost Analysis'!$C:$FO,10,FALSE))</f>
        <v>910.35363015241387</v>
      </c>
      <c r="G55" s="9">
        <f>IF(ISERROR(VLOOKUP($B55,'[1]Cost Analysis'!$C:$FO,12,FALSE)),"",VLOOKUP($B55,'[1]Cost Analysis'!$C:$FO,12,FALSE))</f>
        <v>0</v>
      </c>
      <c r="H55" s="17">
        <f>IF(ISERROR(VLOOKUP($B55,'[1]Cost Analysis'!$C:$FO,13,FALSE)),"",VLOOKUP($B55,'[1]Cost Analysis'!$C:$FO,13,FALSE))</f>
        <v>0</v>
      </c>
      <c r="I55" s="16">
        <f>IF(ISERROR(VLOOKUP($B55,'[1]Cost Analysis'!$C:$FO,14,FALSE)),"",VLOOKUP($B55,'[1]Cost Analysis'!$C:$FO,14,FALSE))</f>
        <v>0</v>
      </c>
      <c r="J55" s="18">
        <f>IF(ISERROR(VLOOKUP($B55,'[1]Cost Analysis'!$C:$FO,15,FALSE)),"",VLOOKUP($B55,'[1]Cost Analysis'!$C:$FO,15,FALSE))</f>
        <v>5100000</v>
      </c>
      <c r="K55" s="16">
        <f>IF(ISERROR(VLOOKUP($B55,'[1]Cost Analysis'!$C:$FO,16,FALSE)),"",VLOOKUP($B55,'[1]Cost Analysis'!$C:$FO,16,FALSE))</f>
        <v>5.2577319587628867E-2</v>
      </c>
      <c r="L55" s="17">
        <f>IF(ISERROR(VLOOKUP($B55,'[1]Cost Analysis'!$C:$FO,17,FALSE)),"",VLOOKUP($B55,'[1]Cost Analysis'!$C:$FO,17,FALSE))</f>
        <v>0</v>
      </c>
      <c r="M55" s="17">
        <f>IF(ISERROR(VLOOKUP($B55,'[1]Cost Analysis'!$C:$FO,18,FALSE)),"",VLOOKUP($B55,'[1]Cost Analysis'!$C:$FO,18,FALSE))</f>
        <v>0</v>
      </c>
      <c r="N55" s="16">
        <f>IF(ISERROR(VLOOKUP($B55,'[1]Cost Analysis'!$C:$FO,19,FALSE)),"",VLOOKUP($B55,'[1]Cost Analysis'!$C:$FO,19,FALSE))</f>
        <v>0</v>
      </c>
      <c r="O55" s="11">
        <f>IF(ISERROR(VLOOKUP($B55,'[1]Cost Analysis'!$C:$FO,36,FALSE)),"",VLOOKUP($B55,'[1]Cost Analysis'!$C:$FO,36,FALSE))</f>
        <v>133085</v>
      </c>
      <c r="P55" s="13" t="str">
        <f>IF(ISERROR(VLOOKUP($B55,'[1]Cost Analysis'!$C:$FO,37,FALSE)),"",VLOOKUP($B55,'[1]Cost Analysis'!$C:$FO,37,FALSE))</f>
        <v xml:space="preserve">Solar PV onsite owned </v>
      </c>
      <c r="Q55" s="11">
        <f>VLOOKUP($B55,'[1]Cost Analysis'!$C:$FO,39,FALSE)</f>
        <v>106552</v>
      </c>
      <c r="R55" s="11">
        <f>VLOOKUP($B55,'[1]Cost Analysis'!$C:$FO,40,FALSE)</f>
        <v>106552</v>
      </c>
      <c r="S55" s="13">
        <f>VLOOKUP($B55,'[1]Cost Analysis'!$C:$FO,41,FALSE)</f>
        <v>1</v>
      </c>
      <c r="T55" s="13">
        <f>VLOOKUP($B55,'[1]Cost Analysis'!$C:$FO,42,FALSE)</f>
        <v>9</v>
      </c>
      <c r="U55" s="13">
        <f>VLOOKUP($B55,'[1]Cost Analysis'!$C:$FO,43,FALSE)</f>
        <v>137</v>
      </c>
      <c r="V55" s="13" t="str">
        <f>VLOOKUP($B55,'[1]Cost Analysis'!$C:$FO,44,FALSE)</f>
        <v>Phius</v>
      </c>
      <c r="W55" s="13" t="str">
        <f>VLOOKUP($B55,'[1]Cost Analysis'!$C:$FO,45,FALSE)</f>
        <v>NYC</v>
      </c>
      <c r="X55" s="15" t="str">
        <f>VLOOKUP($B55,'[1]Cost Analysis'!$C:$FO,46,FALSE)</f>
        <v>All Electric</v>
      </c>
      <c r="Y55" s="14" t="str">
        <f>VLOOKUP($B55,'[1]Cost Analysis'!$C:$FO,47,FALSE)</f>
        <v>LMI</v>
      </c>
      <c r="Z55" s="13" t="str">
        <f>VLOOKUP($B55,'[1]Cost Analysis'!$C:$FO,48,FALSE)</f>
        <v>Yes</v>
      </c>
      <c r="AA55" s="13" t="str">
        <f>VLOOKUP($B55,'[1]Cost Analysis'!$C:$FO,49,FALSE)</f>
        <v>Block and Concrete Plank</v>
      </c>
      <c r="AB55" s="13" t="str">
        <f>VLOOKUP($B55,'[1]Cost Analysis'!$C:$FO,50,FALSE)</f>
        <v>Condenser Water Loop with Air to Water Heat Pump; OR Package Terminal Heat Pumps</v>
      </c>
      <c r="AC55" s="13" t="str">
        <f>VLOOKUP($B55,'[1]Cost Analysis'!$C:$FO,51,FALSE)</f>
        <v>ERV</v>
      </c>
      <c r="AD55" s="13" t="str">
        <f>VLOOKUP($B55,'[1]Cost Analysis'!$C:$FO,52,FALSE)</f>
        <v>Central Air Source Heat Pump; OR Wastewater Heat Recovery Heat Pump</v>
      </c>
      <c r="AE55" s="13" t="str">
        <f>VLOOKUP($B55,'[1]Cost Analysis'!$C:$FO,53,FALSE)</f>
        <v>Yes</v>
      </c>
      <c r="AF55" s="13" t="str">
        <f>VLOOKUP($B55,'[1]Cost Analysis'!$C:$FO,54,FALSE)</f>
        <v>Mid Rise</v>
      </c>
      <c r="AG55" s="13" t="str">
        <f>IF(VLOOKUP($B55,'[1]Cost Analysis'!$C:$FO,55,FALSE)="PV","Yes","No")</f>
        <v>Yes</v>
      </c>
      <c r="AH55" s="13" t="str">
        <f>VLOOKUP($B55,'[1]Cost Analysis'!$C:$FO,57,FALSE)</f>
        <v>Yes</v>
      </c>
      <c r="AI55" s="13" t="str">
        <f>VLOOKUP($B55,'[1]Cost Analysis'!$C:$FO,58,FALSE)</f>
        <v>No</v>
      </c>
      <c r="AJ55" s="13" t="str">
        <f>VLOOKUP($B55,'[1]Cost Analysis'!$C:$FO,59,FALSE)</f>
        <v>No</v>
      </c>
      <c r="AK55" s="13">
        <f>VLOOKUP($B55,'[1]Cost Analysis'!$C:$FO,60,FALSE)</f>
        <v>4</v>
      </c>
      <c r="AL55" s="13" t="str">
        <f>VLOOKUP($B55,'[1]Cost Analysis'!$C:$FO,61,FALSE)</f>
        <v>No</v>
      </c>
      <c r="AM55" s="13">
        <f>VLOOKUP($B55,'[1]Cost Analysis'!$C:$FO,62,FALSE)</f>
        <v>0</v>
      </c>
      <c r="AN55" s="12" t="str">
        <f>VLOOKUP($B55,'[1]Cost Analysis'!$C:$FO,63,FALSE)</f>
        <v>2020 ECCC NYS</v>
      </c>
      <c r="AO55" s="12">
        <f>VLOOKUP($B55,'[1]Cost Analysis'!$C:$FO,67,FALSE)</f>
        <v>0</v>
      </c>
      <c r="AP55" s="12">
        <f>VLOOKUP($B55,'[1]Cost Analysis'!$C:$FO,69,FALSE)</f>
        <v>0</v>
      </c>
      <c r="AQ55" s="11">
        <f>VLOOKUP($B55,'[1]Cost Analysis'!$C:$FO,74,FALSE)</f>
        <v>0</v>
      </c>
      <c r="AR55" s="11">
        <f>VLOOKUP($B55,'[1]Cost Analysis'!$C:$FO,75,FALSE)</f>
        <v>0</v>
      </c>
      <c r="AS55" s="10">
        <f>IF(ISERROR(VLOOKUP($B55,'[1]Cost Analysis'!$C:$FO,76,FALSE)),"",VLOOKUP($B55,'[1]Cost Analysis'!$C:$FO,76,FALSE))</f>
        <v>0</v>
      </c>
      <c r="AT55" s="9">
        <f>VLOOKUP($B55,'[1]Cost Analysis'!$C:$FO,78,FALSE)</f>
        <v>0</v>
      </c>
      <c r="AU55" s="9">
        <f>VLOOKUP($B55,'[1]Cost Analysis'!$C:$FO,82,FALSE)</f>
        <v>0</v>
      </c>
      <c r="AV55" s="8">
        <f>VLOOKUP($B55,'[1]Cost Analysis'!$C:$FO,83,FALSE)</f>
        <v>0</v>
      </c>
      <c r="AW55" s="7" t="str">
        <f>IF(VLOOKUP($B55,'[1]Cost Analysis'!$C:$FO,86,FALSE)=0,"",VLOOKUP($B55,'[1]Cost Analysis'!$C:$FO,86,FALSE))</f>
        <v/>
      </c>
      <c r="AX55" s="7" t="str">
        <f>IF(VLOOKUP($B55,'[1]Cost Analysis'!$C:$FO,87,FALSE)=0,"",VLOOKUP($B55,'[1]Cost Analysis'!$C:$FO,87,FALSE))</f>
        <v/>
      </c>
      <c r="AY55" s="7" t="str">
        <f>IF(VLOOKUP($B55,'[1]Cost Analysis'!$C:$FO,88,FALSE)=0,"",VLOOKUP($B55,'[1]Cost Analysis'!$C:$FO,88,FALSE))</f>
        <v/>
      </c>
      <c r="AZ55" s="7" t="str">
        <f>IF(VLOOKUP($B55,'[1]Cost Analysis'!$C:$FO,89,FALSE)=0,"",VLOOKUP($B55,'[1]Cost Analysis'!$C:$FO,89,FALSE))</f>
        <v/>
      </c>
      <c r="BA55" s="7" t="str">
        <f>IF(VLOOKUP($B55,'[1]Cost Analysis'!$C:$FO,90,FALSE)=0,"",VLOOKUP($B55,'[1]Cost Analysis'!$C:$FO,90,FALSE))</f>
        <v/>
      </c>
      <c r="BB55" s="7" t="str">
        <f>IF(VLOOKUP($B55,'[1]Cost Analysis'!$C:$FO,91,FALSE)=0,"",VLOOKUP($B55,'[1]Cost Analysis'!$C:$FO,91,FALSE))</f>
        <v/>
      </c>
      <c r="BC55" s="7" t="str">
        <f>IF(VLOOKUP($B55,'[1]Cost Analysis'!$C:$FO,92,FALSE)=0,"",VLOOKUP($B55,'[1]Cost Analysis'!$C:$FO,92,FALSE))</f>
        <v/>
      </c>
      <c r="BD55" s="7" t="str">
        <f>IF(VLOOKUP($B55,'[1]Cost Analysis'!$C:$FO,93,FALSE)=0,"",VLOOKUP($B55,'[1]Cost Analysis'!$C:$FO,93,FALSE))</f>
        <v/>
      </c>
      <c r="BE55" s="7" t="str">
        <f>IF(VLOOKUP($B55,'[1]Cost Analysis'!$C:$FO,94,FALSE)=0,"",VLOOKUP($B55,'[1]Cost Analysis'!$C:$FO,94,FALSE))</f>
        <v/>
      </c>
      <c r="BF55" s="7" t="str">
        <f>IF(VLOOKUP($B55,'[1]Cost Analysis'!$C:$FO,95,FALSE)=0,"",VLOOKUP($B55,'[1]Cost Analysis'!$C:$FO,95,FALSE))</f>
        <v/>
      </c>
      <c r="BG55" s="7" t="str">
        <f>IF(VLOOKUP($B55,'[1]Cost Analysis'!$C:$FO,96,FALSE)=0,"",VLOOKUP($B55,'[1]Cost Analysis'!$C:$FO,96,FALSE))</f>
        <v/>
      </c>
      <c r="BH55" s="7" t="str">
        <f>IF(VLOOKUP($B55,'[1]Cost Analysis'!$C:$FO,97,FALSE)=0,"",VLOOKUP($B55,'[1]Cost Analysis'!$C:$FO,97,FALSE))</f>
        <v/>
      </c>
      <c r="BI55" s="7" t="str">
        <f>IF(VLOOKUP($B55,'[1]Cost Analysis'!$C:$FO,98,FALSE)=0,"",VLOOKUP($B55,'[1]Cost Analysis'!$C:$FO,98,FALSE))</f>
        <v/>
      </c>
      <c r="BJ55" s="7" t="str">
        <f>IF(VLOOKUP($B55,'[1]Cost Analysis'!$C:$FO,99,FALSE)=0,"",VLOOKUP($B55,'[1]Cost Analysis'!$C:$FO,99,FALSE))</f>
        <v/>
      </c>
      <c r="BK55" s="7" t="str">
        <f>IF(VLOOKUP($B55,'[1]Cost Analysis'!$C:$FO,100,FALSE)=0,"",VLOOKUP($B55,'[1]Cost Analysis'!$C:$FO,100,FALSE))</f>
        <v/>
      </c>
      <c r="BL55" s="7" t="str">
        <f>IF(VLOOKUP($B55,'[1]Cost Analysis'!$C:$FO,101,FALSE)=0,"",VLOOKUP($B55,'[1]Cost Analysis'!$C:$FO,101,FALSE))</f>
        <v/>
      </c>
      <c r="BM55" s="7" t="str">
        <f>IF(VLOOKUP($B55,'[1]Cost Analysis'!$C:$FO,102,FALSE)=0,"",VLOOKUP($B55,'[1]Cost Analysis'!$C:$FO,102,FALSE))</f>
        <v/>
      </c>
      <c r="BN55" s="7" t="str">
        <f>IF(VLOOKUP($B55,'[1]Cost Analysis'!$C:$FO,103,FALSE)=0,"",VLOOKUP($B55,'[1]Cost Analysis'!$C:$FO,103,FALSE))</f>
        <v/>
      </c>
      <c r="BO55" s="7" t="str">
        <f>IF(VLOOKUP($B55,'[1]Cost Analysis'!$C:$FO,104,FALSE)=0,"",VLOOKUP($B55,'[1]Cost Analysis'!$C:$FO,104,FALSE))</f>
        <v/>
      </c>
      <c r="BP55" s="7" t="str">
        <f>IF(VLOOKUP($B55,'[1]Cost Analysis'!$C:$FO,105,FALSE)=0,"",VLOOKUP($B55,'[1]Cost Analysis'!$C:$FO,105,FALSE))</f>
        <v/>
      </c>
      <c r="BQ55" s="7" t="str">
        <f>IF(VLOOKUP($B55,'[1]Cost Analysis'!$C:$FO,106,FALSE)=0,"",VLOOKUP($B55,'[1]Cost Analysis'!$C:$FO,106,FALSE))</f>
        <v/>
      </c>
      <c r="BR55" s="7" t="str">
        <f>IF(VLOOKUP($B55,'[1]Cost Analysis'!$C:$FO,107,FALSE)=0,"",VLOOKUP($B55,'[1]Cost Analysis'!$C:$FO,107,FALSE))</f>
        <v/>
      </c>
      <c r="BS55" s="7" t="str">
        <f>IF(VLOOKUP($B55,'[1]Cost Analysis'!$C:$FO,108,FALSE)=0,"",VLOOKUP($B55,'[1]Cost Analysis'!$C:$FO,108,FALSE))</f>
        <v/>
      </c>
      <c r="BT55" s="7" t="str">
        <f>IF(VLOOKUP($B55,'[1]Cost Analysis'!$C:$FO,109,FALSE)=0,"",VLOOKUP($B55,'[1]Cost Analysis'!$C:$FO,109,FALSE))</f>
        <v/>
      </c>
      <c r="BU55" s="7" t="str">
        <f>IF(VLOOKUP($B55,'[1]Cost Analysis'!$C:$FO,110,FALSE)=0,"",VLOOKUP($B55,'[1]Cost Analysis'!$C:$FO,110,FALSE))</f>
        <v/>
      </c>
      <c r="BV55" s="7" t="str">
        <f>IF(VLOOKUP($B55,'[1]Cost Analysis'!$C:$FO,111,FALSE)=0,"",VLOOKUP($B55,'[1]Cost Analysis'!$C:$FO,111,FALSE))</f>
        <v/>
      </c>
      <c r="BW55" s="7" t="str">
        <f>IF(VLOOKUP($B55,'[1]Cost Analysis'!$C:$FO,112,FALSE)=0,"",VLOOKUP($B55,'[1]Cost Analysis'!$C:$FO,112,FALSE))</f>
        <v/>
      </c>
      <c r="BX55" s="7" t="str">
        <f>IF(VLOOKUP($B55,'[1]Cost Analysis'!$C:$FO,125,FALSE)=0,"",VLOOKUP($B55,'[1]Cost Analysis'!$C:$FO,125,FALSE))</f>
        <v/>
      </c>
      <c r="BY55" s="7" t="str">
        <f>IF(VLOOKUP($B55,'[1]Cost Analysis'!$C:$FO,126,FALSE)=0,"",VLOOKUP($B55,'[1]Cost Analysis'!$C:$FO,126,FALSE))</f>
        <v/>
      </c>
      <c r="BZ55" s="7" t="str">
        <f>IF(VLOOKUP($B55,'[1]Cost Analysis'!$C:$FO,127,FALSE)=0,"",VLOOKUP($B55,'[1]Cost Analysis'!$C:$FO,127,FALSE))</f>
        <v/>
      </c>
      <c r="CA55" s="7" t="str">
        <f>IF(VLOOKUP($B55,'[1]Cost Analysis'!$C:$FO,128,FALSE)=0,"",VLOOKUP($B55,'[1]Cost Analysis'!$C:$FO,128,FALSE))</f>
        <v/>
      </c>
      <c r="CB55" s="7" t="str">
        <f>IF(VLOOKUP($B55,'[1]Cost Analysis'!$C:$FO,129,FALSE)=0,"",VLOOKUP($B55,'[1]Cost Analysis'!$C:$FO,129,FALSE))</f>
        <v/>
      </c>
      <c r="CC55" s="7" t="str">
        <f>IF(VLOOKUP($B55,'[1]Cost Analysis'!$C:$FO,130,FALSE)=0,"",VLOOKUP($B55,'[1]Cost Analysis'!$C:$FO,130,FALSE))</f>
        <v/>
      </c>
      <c r="CD55" s="7" t="str">
        <f>IF(VLOOKUP($B55,'[1]Cost Analysis'!$C:$FO,131,FALSE)=0,"",VLOOKUP($B55,'[1]Cost Analysis'!$C:$FO,131,FALSE))</f>
        <v/>
      </c>
      <c r="CE55" s="7" t="str">
        <f>IF(VLOOKUP($B55,'[1]Cost Analysis'!$C:$FO,132,FALSE)=0,"",VLOOKUP($B55,'[1]Cost Analysis'!$C:$FO,132,FALSE))</f>
        <v/>
      </c>
      <c r="CF55" s="7" t="str">
        <f>IF(VLOOKUP($B55,'[1]Cost Analysis'!$C:$FO,133,FALSE)=0,"",VLOOKUP($B55,'[1]Cost Analysis'!$C:$FO,133,FALSE))</f>
        <v/>
      </c>
      <c r="CG55" s="7" t="str">
        <f>IF(VLOOKUP($B55,'[1]Cost Analysis'!$C:$FO,134,FALSE)=0,"",VLOOKUP($B55,'[1]Cost Analysis'!$C:$FO,134,FALSE))</f>
        <v/>
      </c>
      <c r="CH55" s="7" t="str">
        <f>IF(VLOOKUP($B55,'[1]Cost Analysis'!$C:$FO,135,FALSE)=0,"",VLOOKUP($B55,'[1]Cost Analysis'!$C:$FO,135,FALSE))</f>
        <v/>
      </c>
      <c r="CI55" s="7" t="str">
        <f>IF(VLOOKUP($B55,'[1]Cost Analysis'!$C:$FO,136,FALSE)=0,"",VLOOKUP($B55,'[1]Cost Analysis'!$C:$FO,136,FALSE))</f>
        <v/>
      </c>
      <c r="CJ55" s="7" t="str">
        <f>IF(VLOOKUP($B55,'[1]Cost Analysis'!$C:$FO,137,FALSE)=0,"",VLOOKUP($B55,'[1]Cost Analysis'!$C:$FO,137,FALSE))</f>
        <v/>
      </c>
      <c r="CK55" s="7" t="str">
        <f>IF(VLOOKUP($B55,'[1]Cost Analysis'!$C:$FO,138,FALSE)=0,"",VLOOKUP($B55,'[1]Cost Analysis'!$C:$FO,138,FALSE))</f>
        <v/>
      </c>
      <c r="CL55" s="7" t="str">
        <f>IF(VLOOKUP($B55,'[1]Cost Analysis'!$C:$FO,139,FALSE)=0,"",VLOOKUP($B55,'[1]Cost Analysis'!$C:$FO,139,FALSE))</f>
        <v/>
      </c>
    </row>
    <row r="56" spans="1:90" ht="105" x14ac:dyDescent="0.25">
      <c r="A56" s="13" t="s">
        <v>1</v>
      </c>
      <c r="B56" s="20" t="s">
        <v>2</v>
      </c>
      <c r="C56" s="19" t="str">
        <f>VLOOKUP($B56,'[1]Cost Analysis'!$C:$FO,7,FALSE)</f>
        <v>Proposal</v>
      </c>
      <c r="D56" s="19" t="str">
        <f>VLOOKUP($B56,'[1]Cost Analysis'!$C:$FO,8,FALSE)</f>
        <v>Design Development</v>
      </c>
      <c r="E56" s="18">
        <f>IF(ISERROR(VLOOKUP($B56,'[1]Cost Analysis'!$C:$FO,9,FALSE)),"",VLOOKUP($B56,'[1]Cost Analysis'!$C:$FO,9,FALSE))</f>
        <v>48673175</v>
      </c>
      <c r="F56" s="17">
        <f>IF(ISERROR(VLOOKUP($B56,'[1]Cost Analysis'!$C:$FO,10,FALSE)),"",VLOOKUP($B56,'[1]Cost Analysis'!$C:$FO,10,FALSE))</f>
        <v>708.40725738961612</v>
      </c>
      <c r="G56" s="9">
        <f>IF(ISERROR(VLOOKUP($B56,'[1]Cost Analysis'!$C:$FO,12,FALSE)),"",VLOOKUP($B56,'[1]Cost Analysis'!$C:$FO,12,FALSE))</f>
        <v>0</v>
      </c>
      <c r="H56" s="17">
        <f>IF(ISERROR(VLOOKUP($B56,'[1]Cost Analysis'!$C:$FO,13,FALSE)),"",VLOOKUP($B56,'[1]Cost Analysis'!$C:$FO,13,FALSE))</f>
        <v>0</v>
      </c>
      <c r="I56" s="16">
        <f>IF(ISERROR(VLOOKUP($B56,'[1]Cost Analysis'!$C:$FO,14,FALSE)),"",VLOOKUP($B56,'[1]Cost Analysis'!$C:$FO,14,FALSE))</f>
        <v>0</v>
      </c>
      <c r="J56" s="18">
        <f>IF(ISERROR(VLOOKUP($B56,'[1]Cost Analysis'!$C:$FO,15,FALSE)),"",VLOOKUP($B56,'[1]Cost Analysis'!$C:$FO,15,FALSE))</f>
        <v>21977827</v>
      </c>
      <c r="K56" s="16">
        <f>IF(ISERROR(VLOOKUP($B56,'[1]Cost Analysis'!$C:$FO,16,FALSE)),"",VLOOKUP($B56,'[1]Cost Analysis'!$C:$FO,16,FALSE))</f>
        <v>0.45153879934892266</v>
      </c>
      <c r="L56" s="17">
        <f>IF(ISERROR(VLOOKUP($B56,'[1]Cost Analysis'!$C:$FO,17,FALSE)),"",VLOOKUP($B56,'[1]Cost Analysis'!$C:$FO,17,FALSE))</f>
        <v>0</v>
      </c>
      <c r="M56" s="17">
        <f>IF(ISERROR(VLOOKUP($B56,'[1]Cost Analysis'!$C:$FO,18,FALSE)),"",VLOOKUP($B56,'[1]Cost Analysis'!$C:$FO,18,FALSE))</f>
        <v>0</v>
      </c>
      <c r="N56" s="16">
        <f>IF(ISERROR(VLOOKUP($B56,'[1]Cost Analysis'!$C:$FO,19,FALSE)),"",VLOOKUP($B56,'[1]Cost Analysis'!$C:$FO,19,FALSE))</f>
        <v>0</v>
      </c>
      <c r="O56" s="11">
        <f>IF(ISERROR(VLOOKUP($B56,'[1]Cost Analysis'!$C:$FO,36,FALSE)),"",VLOOKUP($B56,'[1]Cost Analysis'!$C:$FO,36,FALSE))</f>
        <v>247199</v>
      </c>
      <c r="P56" s="13" t="str">
        <f>IF(ISERROR(VLOOKUP($B56,'[1]Cost Analysis'!$C:$FO,37,FALSE)),"",VLOOKUP($B56,'[1]Cost Analysis'!$C:$FO,37,FALSE))</f>
        <v xml:space="preserve">Solar PV onsite owned </v>
      </c>
      <c r="Q56" s="11">
        <f>VLOOKUP($B56,'[1]Cost Analysis'!$C:$FO,39,FALSE)</f>
        <v>68707.899999999994</v>
      </c>
      <c r="R56" s="11">
        <f>VLOOKUP($B56,'[1]Cost Analysis'!$C:$FO,40,FALSE)</f>
        <v>68707.899999999994</v>
      </c>
      <c r="S56" s="13">
        <f>VLOOKUP($B56,'[1]Cost Analysis'!$C:$FO,41,FALSE)</f>
        <v>1</v>
      </c>
      <c r="T56" s="13">
        <f>VLOOKUP($B56,'[1]Cost Analysis'!$C:$FO,42,FALSE)</f>
        <v>15</v>
      </c>
      <c r="U56" s="13">
        <f>VLOOKUP($B56,'[1]Cost Analysis'!$C:$FO,43,FALSE)</f>
        <v>82</v>
      </c>
      <c r="V56" s="13" t="str">
        <f>VLOOKUP($B56,'[1]Cost Analysis'!$C:$FO,44,FALSE)</f>
        <v>ASHRAE</v>
      </c>
      <c r="W56" s="13" t="str">
        <f>VLOOKUP($B56,'[1]Cost Analysis'!$C:$FO,45,FALSE)</f>
        <v>NYC</v>
      </c>
      <c r="X56" s="15" t="str">
        <f>VLOOKUP($B56,'[1]Cost Analysis'!$C:$FO,46,FALSE)</f>
        <v>All Electric</v>
      </c>
      <c r="Y56" s="14" t="str">
        <f>VLOOKUP($B56,'[1]Cost Analysis'!$C:$FO,47,FALSE)</f>
        <v>LMI</v>
      </c>
      <c r="Z56" s="13" t="str">
        <f>VLOOKUP($B56,'[1]Cost Analysis'!$C:$FO,48,FALSE)</f>
        <v>Yes</v>
      </c>
      <c r="AA56" s="13" t="str">
        <f>VLOOKUP($B56,'[1]Cost Analysis'!$C:$FO,49,FALSE)</f>
        <v>Cellar through 7th story – cast-in-place concrete &amp; concrete plank; 8th story through bulkhead – block &amp; concrete plank</v>
      </c>
      <c r="AB56" s="13" t="str">
        <f>VLOOKUP($B56,'[1]Cost Analysis'!$C:$FO,50,FALSE)</f>
        <v>VRF - ASHP</v>
      </c>
      <c r="AC56" s="13" t="str">
        <f>VLOOKUP($B56,'[1]Cost Analysis'!$C:$FO,51,FALSE)</f>
        <v>ERV</v>
      </c>
      <c r="AD56" s="13" t="str">
        <f>VLOOKUP($B56,'[1]Cost Analysis'!$C:$FO,52,FALSE)</f>
        <v xml:space="preserve">ASHP w/ CO2 </v>
      </c>
      <c r="AE56" s="13" t="str">
        <f>VLOOKUP($B56,'[1]Cost Analysis'!$C:$FO,53,FALSE)</f>
        <v>Yes</v>
      </c>
      <c r="AF56" s="13" t="str">
        <f>VLOOKUP($B56,'[1]Cost Analysis'!$C:$FO,54,FALSE)</f>
        <v>Mid Rise</v>
      </c>
      <c r="AG56" s="13" t="str">
        <f>IF(VLOOKUP($B56,'[1]Cost Analysis'!$C:$FO,55,FALSE)="PV","Yes","No")</f>
        <v>Yes</v>
      </c>
      <c r="AH56" s="13" t="str">
        <f>VLOOKUP($B56,'[1]Cost Analysis'!$C:$FO,57,FALSE)</f>
        <v>No</v>
      </c>
      <c r="AI56" s="13" t="str">
        <f>VLOOKUP($B56,'[1]Cost Analysis'!$C:$FO,58,FALSE)</f>
        <v>No</v>
      </c>
      <c r="AJ56" s="13" t="str">
        <f>VLOOKUP($B56,'[1]Cost Analysis'!$C:$FO,59,FALSE)</f>
        <v>No</v>
      </c>
      <c r="AK56" s="13">
        <f>VLOOKUP($B56,'[1]Cost Analysis'!$C:$FO,60,FALSE)</f>
        <v>4</v>
      </c>
      <c r="AL56" s="13" t="str">
        <f>VLOOKUP($B56,'[1]Cost Analysis'!$C:$FO,61,FALSE)</f>
        <v>No</v>
      </c>
      <c r="AM56" s="13">
        <f>VLOOKUP($B56,'[1]Cost Analysis'!$C:$FO,62,FALSE)</f>
        <v>0</v>
      </c>
      <c r="AN56" s="12" t="str">
        <f>VLOOKUP($B56,'[1]Cost Analysis'!$C:$FO,63,FALSE)</f>
        <v>2020 ECCC NYS</v>
      </c>
      <c r="AO56" s="12">
        <f>VLOOKUP($B56,'[1]Cost Analysis'!$C:$FO,67,FALSE)</f>
        <v>0</v>
      </c>
      <c r="AP56" s="12">
        <f>VLOOKUP($B56,'[1]Cost Analysis'!$C:$FO,69,FALSE)</f>
        <v>0</v>
      </c>
      <c r="AQ56" s="11">
        <f>VLOOKUP($B56,'[1]Cost Analysis'!$C:$FO,74,FALSE)</f>
        <v>0</v>
      </c>
      <c r="AR56" s="11">
        <f>VLOOKUP($B56,'[1]Cost Analysis'!$C:$FO,75,FALSE)</f>
        <v>0</v>
      </c>
      <c r="AS56" s="10">
        <f>IF(ISERROR(VLOOKUP($B56,'[1]Cost Analysis'!$C:$FO,76,FALSE)),"",VLOOKUP($B56,'[1]Cost Analysis'!$C:$FO,76,FALSE))</f>
        <v>0</v>
      </c>
      <c r="AT56" s="9">
        <f>VLOOKUP($B56,'[1]Cost Analysis'!$C:$FO,78,FALSE)</f>
        <v>0</v>
      </c>
      <c r="AU56" s="9">
        <f>VLOOKUP($B56,'[1]Cost Analysis'!$C:$FO,82,FALSE)</f>
        <v>0</v>
      </c>
      <c r="AV56" s="8">
        <f>VLOOKUP($B56,'[1]Cost Analysis'!$C:$FO,83,FALSE)</f>
        <v>0</v>
      </c>
      <c r="AW56" s="7" t="str">
        <f>IF(VLOOKUP($B56,'[1]Cost Analysis'!$C:$FO,86,FALSE)=0,"",VLOOKUP($B56,'[1]Cost Analysis'!$C:$FO,86,FALSE))</f>
        <v/>
      </c>
      <c r="AX56" s="7" t="str">
        <f>IF(VLOOKUP($B56,'[1]Cost Analysis'!$C:$FO,87,FALSE)=0,"",VLOOKUP($B56,'[1]Cost Analysis'!$C:$FO,87,FALSE))</f>
        <v/>
      </c>
      <c r="AY56" s="7" t="str">
        <f>IF(VLOOKUP($B56,'[1]Cost Analysis'!$C:$FO,88,FALSE)=0,"",VLOOKUP($B56,'[1]Cost Analysis'!$C:$FO,88,FALSE))</f>
        <v/>
      </c>
      <c r="AZ56" s="7" t="str">
        <f>IF(VLOOKUP($B56,'[1]Cost Analysis'!$C:$FO,89,FALSE)=0,"",VLOOKUP($B56,'[1]Cost Analysis'!$C:$FO,89,FALSE))</f>
        <v/>
      </c>
      <c r="BA56" s="7" t="str">
        <f>IF(VLOOKUP($B56,'[1]Cost Analysis'!$C:$FO,90,FALSE)=0,"",VLOOKUP($B56,'[1]Cost Analysis'!$C:$FO,90,FALSE))</f>
        <v/>
      </c>
      <c r="BB56" s="7" t="str">
        <f>IF(VLOOKUP($B56,'[1]Cost Analysis'!$C:$FO,91,FALSE)=0,"",VLOOKUP($B56,'[1]Cost Analysis'!$C:$FO,91,FALSE))</f>
        <v/>
      </c>
      <c r="BC56" s="7" t="str">
        <f>IF(VLOOKUP($B56,'[1]Cost Analysis'!$C:$FO,92,FALSE)=0,"",VLOOKUP($B56,'[1]Cost Analysis'!$C:$FO,92,FALSE))</f>
        <v/>
      </c>
      <c r="BD56" s="7" t="str">
        <f>IF(VLOOKUP($B56,'[1]Cost Analysis'!$C:$FO,93,FALSE)=0,"",VLOOKUP($B56,'[1]Cost Analysis'!$C:$FO,93,FALSE))</f>
        <v/>
      </c>
      <c r="BE56" s="7" t="str">
        <f>IF(VLOOKUP($B56,'[1]Cost Analysis'!$C:$FO,94,FALSE)=0,"",VLOOKUP($B56,'[1]Cost Analysis'!$C:$FO,94,FALSE))</f>
        <v/>
      </c>
      <c r="BF56" s="7" t="str">
        <f>IF(VLOOKUP($B56,'[1]Cost Analysis'!$C:$FO,95,FALSE)=0,"",VLOOKUP($B56,'[1]Cost Analysis'!$C:$FO,95,FALSE))</f>
        <v/>
      </c>
      <c r="BG56" s="7" t="str">
        <f>IF(VLOOKUP($B56,'[1]Cost Analysis'!$C:$FO,96,FALSE)=0,"",VLOOKUP($B56,'[1]Cost Analysis'!$C:$FO,96,FALSE))</f>
        <v/>
      </c>
      <c r="BH56" s="7" t="str">
        <f>IF(VLOOKUP($B56,'[1]Cost Analysis'!$C:$FO,97,FALSE)=0,"",VLOOKUP($B56,'[1]Cost Analysis'!$C:$FO,97,FALSE))</f>
        <v/>
      </c>
      <c r="BI56" s="7" t="str">
        <f>IF(VLOOKUP($B56,'[1]Cost Analysis'!$C:$FO,98,FALSE)=0,"",VLOOKUP($B56,'[1]Cost Analysis'!$C:$FO,98,FALSE))</f>
        <v/>
      </c>
      <c r="BJ56" s="7" t="str">
        <f>IF(VLOOKUP($B56,'[1]Cost Analysis'!$C:$FO,99,FALSE)=0,"",VLOOKUP($B56,'[1]Cost Analysis'!$C:$FO,99,FALSE))</f>
        <v/>
      </c>
      <c r="BK56" s="7" t="str">
        <f>IF(VLOOKUP($B56,'[1]Cost Analysis'!$C:$FO,100,FALSE)=0,"",VLOOKUP($B56,'[1]Cost Analysis'!$C:$FO,100,FALSE))</f>
        <v/>
      </c>
      <c r="BL56" s="7" t="str">
        <f>IF(VLOOKUP($B56,'[1]Cost Analysis'!$C:$FO,101,FALSE)=0,"",VLOOKUP($B56,'[1]Cost Analysis'!$C:$FO,101,FALSE))</f>
        <v/>
      </c>
      <c r="BM56" s="7" t="str">
        <f>IF(VLOOKUP($B56,'[1]Cost Analysis'!$C:$FO,102,FALSE)=0,"",VLOOKUP($B56,'[1]Cost Analysis'!$C:$FO,102,FALSE))</f>
        <v/>
      </c>
      <c r="BN56" s="7" t="str">
        <f>IF(VLOOKUP($B56,'[1]Cost Analysis'!$C:$FO,103,FALSE)=0,"",VLOOKUP($B56,'[1]Cost Analysis'!$C:$FO,103,FALSE))</f>
        <v/>
      </c>
      <c r="BO56" s="7" t="str">
        <f>IF(VLOOKUP($B56,'[1]Cost Analysis'!$C:$FO,104,FALSE)=0,"",VLOOKUP($B56,'[1]Cost Analysis'!$C:$FO,104,FALSE))</f>
        <v/>
      </c>
      <c r="BP56" s="7" t="str">
        <f>IF(VLOOKUP($B56,'[1]Cost Analysis'!$C:$FO,105,FALSE)=0,"",VLOOKUP($B56,'[1]Cost Analysis'!$C:$FO,105,FALSE))</f>
        <v/>
      </c>
      <c r="BQ56" s="7" t="str">
        <f>IF(VLOOKUP($B56,'[1]Cost Analysis'!$C:$FO,106,FALSE)=0,"",VLOOKUP($B56,'[1]Cost Analysis'!$C:$FO,106,FALSE))</f>
        <v/>
      </c>
      <c r="BR56" s="7" t="str">
        <f>IF(VLOOKUP($B56,'[1]Cost Analysis'!$C:$FO,107,FALSE)=0,"",VLOOKUP($B56,'[1]Cost Analysis'!$C:$FO,107,FALSE))</f>
        <v/>
      </c>
      <c r="BS56" s="7" t="str">
        <f>IF(VLOOKUP($B56,'[1]Cost Analysis'!$C:$FO,108,FALSE)=0,"",VLOOKUP($B56,'[1]Cost Analysis'!$C:$FO,108,FALSE))</f>
        <v/>
      </c>
      <c r="BT56" s="7" t="str">
        <f>IF(VLOOKUP($B56,'[1]Cost Analysis'!$C:$FO,109,FALSE)=0,"",VLOOKUP($B56,'[1]Cost Analysis'!$C:$FO,109,FALSE))</f>
        <v/>
      </c>
      <c r="BU56" s="7" t="str">
        <f>IF(VLOOKUP($B56,'[1]Cost Analysis'!$C:$FO,110,FALSE)=0,"",VLOOKUP($B56,'[1]Cost Analysis'!$C:$FO,110,FALSE))</f>
        <v/>
      </c>
      <c r="BV56" s="7" t="str">
        <f>IF(VLOOKUP($B56,'[1]Cost Analysis'!$C:$FO,111,FALSE)=0,"",VLOOKUP($B56,'[1]Cost Analysis'!$C:$FO,111,FALSE))</f>
        <v/>
      </c>
      <c r="BW56" s="7" t="str">
        <f>IF(VLOOKUP($B56,'[1]Cost Analysis'!$C:$FO,112,FALSE)=0,"",VLOOKUP($B56,'[1]Cost Analysis'!$C:$FO,112,FALSE))</f>
        <v/>
      </c>
      <c r="BX56" s="7" t="str">
        <f>IF(VLOOKUP($B56,'[1]Cost Analysis'!$C:$FO,125,FALSE)=0,"",VLOOKUP($B56,'[1]Cost Analysis'!$C:$FO,125,FALSE))</f>
        <v/>
      </c>
      <c r="BY56" s="7" t="str">
        <f>IF(VLOOKUP($B56,'[1]Cost Analysis'!$C:$FO,126,FALSE)=0,"",VLOOKUP($B56,'[1]Cost Analysis'!$C:$FO,126,FALSE))</f>
        <v/>
      </c>
      <c r="BZ56" s="7" t="str">
        <f>IF(VLOOKUP($B56,'[1]Cost Analysis'!$C:$FO,127,FALSE)=0,"",VLOOKUP($B56,'[1]Cost Analysis'!$C:$FO,127,FALSE))</f>
        <v/>
      </c>
      <c r="CA56" s="7" t="str">
        <f>IF(VLOOKUP($B56,'[1]Cost Analysis'!$C:$FO,128,FALSE)=0,"",VLOOKUP($B56,'[1]Cost Analysis'!$C:$FO,128,FALSE))</f>
        <v/>
      </c>
      <c r="CB56" s="7" t="str">
        <f>IF(VLOOKUP($B56,'[1]Cost Analysis'!$C:$FO,129,FALSE)=0,"",VLOOKUP($B56,'[1]Cost Analysis'!$C:$FO,129,FALSE))</f>
        <v/>
      </c>
      <c r="CC56" s="7" t="str">
        <f>IF(VLOOKUP($B56,'[1]Cost Analysis'!$C:$FO,130,FALSE)=0,"",VLOOKUP($B56,'[1]Cost Analysis'!$C:$FO,130,FALSE))</f>
        <v/>
      </c>
      <c r="CD56" s="7" t="str">
        <f>IF(VLOOKUP($B56,'[1]Cost Analysis'!$C:$FO,131,FALSE)=0,"",VLOOKUP($B56,'[1]Cost Analysis'!$C:$FO,131,FALSE))</f>
        <v/>
      </c>
      <c r="CE56" s="7" t="str">
        <f>IF(VLOOKUP($B56,'[1]Cost Analysis'!$C:$FO,132,FALSE)=0,"",VLOOKUP($B56,'[1]Cost Analysis'!$C:$FO,132,FALSE))</f>
        <v/>
      </c>
      <c r="CF56" s="7" t="str">
        <f>IF(VLOOKUP($B56,'[1]Cost Analysis'!$C:$FO,133,FALSE)=0,"",VLOOKUP($B56,'[1]Cost Analysis'!$C:$FO,133,FALSE))</f>
        <v/>
      </c>
      <c r="CG56" s="7" t="str">
        <f>IF(VLOOKUP($B56,'[1]Cost Analysis'!$C:$FO,134,FALSE)=0,"",VLOOKUP($B56,'[1]Cost Analysis'!$C:$FO,134,FALSE))</f>
        <v/>
      </c>
      <c r="CH56" s="7" t="str">
        <f>IF(VLOOKUP($B56,'[1]Cost Analysis'!$C:$FO,135,FALSE)=0,"",VLOOKUP($B56,'[1]Cost Analysis'!$C:$FO,135,FALSE))</f>
        <v/>
      </c>
      <c r="CI56" s="7" t="str">
        <f>IF(VLOOKUP($B56,'[1]Cost Analysis'!$C:$FO,136,FALSE)=0,"",VLOOKUP($B56,'[1]Cost Analysis'!$C:$FO,136,FALSE))</f>
        <v/>
      </c>
      <c r="CJ56" s="7" t="str">
        <f>IF(VLOOKUP($B56,'[1]Cost Analysis'!$C:$FO,137,FALSE)=0,"",VLOOKUP($B56,'[1]Cost Analysis'!$C:$FO,137,FALSE))</f>
        <v/>
      </c>
      <c r="CK56" s="7" t="str">
        <f>IF(VLOOKUP($B56,'[1]Cost Analysis'!$C:$FO,138,FALSE)=0,"",VLOOKUP($B56,'[1]Cost Analysis'!$C:$FO,138,FALSE))</f>
        <v/>
      </c>
      <c r="CL56" s="7" t="str">
        <f>IF(VLOOKUP($B56,'[1]Cost Analysis'!$C:$FO,139,FALSE)=0,"",VLOOKUP($B56,'[1]Cost Analysis'!$C:$FO,139,FALSE))</f>
        <v/>
      </c>
    </row>
    <row r="57" spans="1:90" ht="30" x14ac:dyDescent="0.25">
      <c r="A57" s="13" t="s">
        <v>1</v>
      </c>
      <c r="B57" s="20" t="s">
        <v>0</v>
      </c>
      <c r="C57" s="19" t="str">
        <f>VLOOKUP($B57,'[1]Cost Analysis'!$C:$FO,7,FALSE)</f>
        <v>Proposal</v>
      </c>
      <c r="D57" s="19" t="str">
        <f>VLOOKUP($B57,'[1]Cost Analysis'!$C:$FO,8,FALSE)</f>
        <v>Schematic Design</v>
      </c>
      <c r="E57" s="18">
        <f>IF(ISERROR(VLOOKUP($B57,'[1]Cost Analysis'!$C:$FO,9,FALSE)),"",VLOOKUP($B57,'[1]Cost Analysis'!$C:$FO,9,FALSE))</f>
        <v>210922949</v>
      </c>
      <c r="F57" s="17">
        <f>IF(ISERROR(VLOOKUP($B57,'[1]Cost Analysis'!$C:$FO,10,FALSE)),"",VLOOKUP($B57,'[1]Cost Analysis'!$C:$FO,10,FALSE))</f>
        <v>724.82113058419247</v>
      </c>
      <c r="G57" s="9">
        <f>IF(ISERROR(VLOOKUP($B57,'[1]Cost Analysis'!$C:$FO,12,FALSE)),"",VLOOKUP($B57,'[1]Cost Analysis'!$C:$FO,12,FALSE))</f>
        <v>0</v>
      </c>
      <c r="H57" s="17">
        <f>IF(ISERROR(VLOOKUP($B57,'[1]Cost Analysis'!$C:$FO,13,FALSE)),"",VLOOKUP($B57,'[1]Cost Analysis'!$C:$FO,13,FALSE))</f>
        <v>0</v>
      </c>
      <c r="I57" s="16">
        <f>IF(ISERROR(VLOOKUP($B57,'[1]Cost Analysis'!$C:$FO,14,FALSE)),"",VLOOKUP($B57,'[1]Cost Analysis'!$C:$FO,14,FALSE))</f>
        <v>0</v>
      </c>
      <c r="J57" s="18">
        <f>IF(ISERROR(VLOOKUP($B57,'[1]Cost Analysis'!$C:$FO,15,FALSE)),"",VLOOKUP($B57,'[1]Cost Analysis'!$C:$FO,15,FALSE))</f>
        <v>101285828</v>
      </c>
      <c r="K57" s="16">
        <f>IF(ISERROR(VLOOKUP($B57,'[1]Cost Analysis'!$C:$FO,16,FALSE)),"",VLOOKUP($B57,'[1]Cost Analysis'!$C:$FO,16,FALSE))</f>
        <v>0.48020297687000385</v>
      </c>
      <c r="L57" s="17">
        <f>IF(ISERROR(VLOOKUP($B57,'[1]Cost Analysis'!$C:$FO,17,FALSE)),"",VLOOKUP($B57,'[1]Cost Analysis'!$C:$FO,17,FALSE))</f>
        <v>0</v>
      </c>
      <c r="M57" s="17">
        <f>IF(ISERROR(VLOOKUP($B57,'[1]Cost Analysis'!$C:$FO,18,FALSE)),"",VLOOKUP($B57,'[1]Cost Analysis'!$C:$FO,18,FALSE))</f>
        <v>0</v>
      </c>
      <c r="N57" s="16">
        <f>IF(ISERROR(VLOOKUP($B57,'[1]Cost Analysis'!$C:$FO,19,FALSE)),"",VLOOKUP($B57,'[1]Cost Analysis'!$C:$FO,19,FALSE))</f>
        <v>0</v>
      </c>
      <c r="O57" s="11">
        <f>IF(ISERROR(VLOOKUP($B57,'[1]Cost Analysis'!$C:$FO,36,FALSE)),"",VLOOKUP($B57,'[1]Cost Analysis'!$C:$FO,36,FALSE))</f>
        <v>235800</v>
      </c>
      <c r="P57" s="13" t="str">
        <f>IF(ISERROR(VLOOKUP($B57,'[1]Cost Analysis'!$C:$FO,37,FALSE)),"",VLOOKUP($B57,'[1]Cost Analysis'!$C:$FO,37,FALSE))</f>
        <v xml:space="preserve">Solar PV onsite owned </v>
      </c>
      <c r="Q57" s="11">
        <f>VLOOKUP($B57,'[1]Cost Analysis'!$C:$FO,39,FALSE)</f>
        <v>291000</v>
      </c>
      <c r="R57" s="11">
        <f>VLOOKUP($B57,'[1]Cost Analysis'!$C:$FO,40,FALSE)</f>
        <v>265499</v>
      </c>
      <c r="S57" s="13">
        <f>VLOOKUP($B57,'[1]Cost Analysis'!$C:$FO,41,FALSE)</f>
        <v>1</v>
      </c>
      <c r="T57" s="13">
        <f>VLOOKUP($B57,'[1]Cost Analysis'!$C:$FO,42,FALSE)</f>
        <v>9</v>
      </c>
      <c r="U57" s="13">
        <f>VLOOKUP($B57,'[1]Cost Analysis'!$C:$FO,43,FALSE)</f>
        <v>291</v>
      </c>
      <c r="V57" s="13" t="str">
        <f>VLOOKUP($B57,'[1]Cost Analysis'!$C:$FO,44,FALSE)</f>
        <v>Phius</v>
      </c>
      <c r="W57" s="13" t="str">
        <f>VLOOKUP($B57,'[1]Cost Analysis'!$C:$FO,45,FALSE)</f>
        <v>NYC</v>
      </c>
      <c r="X57" s="15" t="str">
        <f>VLOOKUP($B57,'[1]Cost Analysis'!$C:$FO,46,FALSE)</f>
        <v>All Electric</v>
      </c>
      <c r="Y57" s="14" t="str">
        <f>VLOOKUP($B57,'[1]Cost Analysis'!$C:$FO,47,FALSE)</f>
        <v>LMI</v>
      </c>
      <c r="Z57" s="13" t="str">
        <f>VLOOKUP($B57,'[1]Cost Analysis'!$C:$FO,48,FALSE)</f>
        <v>Yes</v>
      </c>
      <c r="AA57" s="13" t="str">
        <f>VLOOKUP($B57,'[1]Cost Analysis'!$C:$FO,49,FALSE)</f>
        <v>Insulated Precast Sandwich Panels</v>
      </c>
      <c r="AB57" s="13" t="str">
        <f>VLOOKUP($B57,'[1]Cost Analysis'!$C:$FO,50,FALSE)</f>
        <v>VRF - ASHP</v>
      </c>
      <c r="AC57" s="13" t="str">
        <f>VLOOKUP($B57,'[1]Cost Analysis'!$C:$FO,51,FALSE)</f>
        <v>ERV</v>
      </c>
      <c r="AD57" s="13" t="str">
        <f>VLOOKUP($B57,'[1]Cost Analysis'!$C:$FO,52,FALSE)</f>
        <v xml:space="preserve">ASHP w/ CO2 </v>
      </c>
      <c r="AE57" s="13" t="str">
        <f>VLOOKUP($B57,'[1]Cost Analysis'!$C:$FO,53,FALSE)</f>
        <v>Yes</v>
      </c>
      <c r="AF57" s="13" t="str">
        <f>VLOOKUP($B57,'[1]Cost Analysis'!$C:$FO,54,FALSE)</f>
        <v>Mid Rise</v>
      </c>
      <c r="AG57" s="13" t="str">
        <f>IF(VLOOKUP($B57,'[1]Cost Analysis'!$C:$FO,55,FALSE)="PV","Yes","No")</f>
        <v>Yes</v>
      </c>
      <c r="AH57" s="13">
        <f>VLOOKUP($B57,'[1]Cost Analysis'!$C:$FO,57,FALSE)</f>
        <v>0</v>
      </c>
      <c r="AI57" s="13" t="str">
        <f>VLOOKUP($B57,'[1]Cost Analysis'!$C:$FO,58,FALSE)</f>
        <v>No</v>
      </c>
      <c r="AJ57" s="13" t="str">
        <f>VLOOKUP($B57,'[1]Cost Analysis'!$C:$FO,59,FALSE)</f>
        <v>No</v>
      </c>
      <c r="AK57" s="13">
        <f>VLOOKUP($B57,'[1]Cost Analysis'!$C:$FO,60,FALSE)</f>
        <v>4</v>
      </c>
      <c r="AL57" s="13" t="str">
        <f>VLOOKUP($B57,'[1]Cost Analysis'!$C:$FO,61,FALSE)</f>
        <v>No</v>
      </c>
      <c r="AM57" s="13">
        <f>VLOOKUP($B57,'[1]Cost Analysis'!$C:$FO,62,FALSE)</f>
        <v>0</v>
      </c>
      <c r="AN57" s="12" t="str">
        <f>VLOOKUP($B57,'[1]Cost Analysis'!$C:$FO,63,FALSE)</f>
        <v>2020 ECCC NYS</v>
      </c>
      <c r="AO57" s="12">
        <f>VLOOKUP($B57,'[1]Cost Analysis'!$C:$FO,67,FALSE)</f>
        <v>0</v>
      </c>
      <c r="AP57" s="12">
        <f>VLOOKUP($B57,'[1]Cost Analysis'!$C:$FO,69,FALSE)</f>
        <v>0</v>
      </c>
      <c r="AQ57" s="11">
        <f>VLOOKUP($B57,'[1]Cost Analysis'!$C:$FO,74,FALSE)</f>
        <v>0</v>
      </c>
      <c r="AR57" s="11">
        <f>VLOOKUP($B57,'[1]Cost Analysis'!$C:$FO,75,FALSE)</f>
        <v>0</v>
      </c>
      <c r="AS57" s="10">
        <f>IF(ISERROR(VLOOKUP($B57,'[1]Cost Analysis'!$C:$FO,76,FALSE)),"",VLOOKUP($B57,'[1]Cost Analysis'!$C:$FO,76,FALSE))</f>
        <v>0</v>
      </c>
      <c r="AT57" s="9">
        <f>VLOOKUP($B57,'[1]Cost Analysis'!$C:$FO,78,FALSE)</f>
        <v>0</v>
      </c>
      <c r="AU57" s="9">
        <f>VLOOKUP($B57,'[1]Cost Analysis'!$C:$FO,82,FALSE)</f>
        <v>0</v>
      </c>
      <c r="AV57" s="8">
        <f>VLOOKUP($B57,'[1]Cost Analysis'!$C:$FO,83,FALSE)</f>
        <v>0</v>
      </c>
      <c r="AW57" s="7" t="str">
        <f>IF(VLOOKUP($B57,'[1]Cost Analysis'!$C:$FO,86,FALSE)=0,"",VLOOKUP($B57,'[1]Cost Analysis'!$C:$FO,86,FALSE))</f>
        <v/>
      </c>
      <c r="AX57" s="7" t="str">
        <f>IF(VLOOKUP($B57,'[1]Cost Analysis'!$C:$FO,87,FALSE)=0,"",VLOOKUP($B57,'[1]Cost Analysis'!$C:$FO,87,FALSE))</f>
        <v/>
      </c>
      <c r="AY57" s="7" t="str">
        <f>IF(VLOOKUP($B57,'[1]Cost Analysis'!$C:$FO,88,FALSE)=0,"",VLOOKUP($B57,'[1]Cost Analysis'!$C:$FO,88,FALSE))</f>
        <v/>
      </c>
      <c r="AZ57" s="7" t="str">
        <f>IF(VLOOKUP($B57,'[1]Cost Analysis'!$C:$FO,89,FALSE)=0,"",VLOOKUP($B57,'[1]Cost Analysis'!$C:$FO,89,FALSE))</f>
        <v/>
      </c>
      <c r="BA57" s="7" t="str">
        <f>IF(VLOOKUP($B57,'[1]Cost Analysis'!$C:$FO,90,FALSE)=0,"",VLOOKUP($B57,'[1]Cost Analysis'!$C:$FO,90,FALSE))</f>
        <v/>
      </c>
      <c r="BB57" s="7" t="str">
        <f>IF(VLOOKUP($B57,'[1]Cost Analysis'!$C:$FO,91,FALSE)=0,"",VLOOKUP($B57,'[1]Cost Analysis'!$C:$FO,91,FALSE))</f>
        <v/>
      </c>
      <c r="BC57" s="7" t="str">
        <f>IF(VLOOKUP($B57,'[1]Cost Analysis'!$C:$FO,92,FALSE)=0,"",VLOOKUP($B57,'[1]Cost Analysis'!$C:$FO,92,FALSE))</f>
        <v/>
      </c>
      <c r="BD57" s="7" t="str">
        <f>IF(VLOOKUP($B57,'[1]Cost Analysis'!$C:$FO,93,FALSE)=0,"",VLOOKUP($B57,'[1]Cost Analysis'!$C:$FO,93,FALSE))</f>
        <v/>
      </c>
      <c r="BE57" s="7" t="str">
        <f>IF(VLOOKUP($B57,'[1]Cost Analysis'!$C:$FO,94,FALSE)=0,"",VLOOKUP($B57,'[1]Cost Analysis'!$C:$FO,94,FALSE))</f>
        <v/>
      </c>
      <c r="BF57" s="7" t="str">
        <f>IF(VLOOKUP($B57,'[1]Cost Analysis'!$C:$FO,95,FALSE)=0,"",VLOOKUP($B57,'[1]Cost Analysis'!$C:$FO,95,FALSE))</f>
        <v/>
      </c>
      <c r="BG57" s="7" t="str">
        <f>IF(VLOOKUP($B57,'[1]Cost Analysis'!$C:$FO,96,FALSE)=0,"",VLOOKUP($B57,'[1]Cost Analysis'!$C:$FO,96,FALSE))</f>
        <v/>
      </c>
      <c r="BH57" s="7" t="str">
        <f>IF(VLOOKUP($B57,'[1]Cost Analysis'!$C:$FO,97,FALSE)=0,"",VLOOKUP($B57,'[1]Cost Analysis'!$C:$FO,97,FALSE))</f>
        <v/>
      </c>
      <c r="BI57" s="7" t="str">
        <f>IF(VLOOKUP($B57,'[1]Cost Analysis'!$C:$FO,98,FALSE)=0,"",VLOOKUP($B57,'[1]Cost Analysis'!$C:$FO,98,FALSE))</f>
        <v/>
      </c>
      <c r="BJ57" s="7" t="str">
        <f>IF(VLOOKUP($B57,'[1]Cost Analysis'!$C:$FO,99,FALSE)=0,"",VLOOKUP($B57,'[1]Cost Analysis'!$C:$FO,99,FALSE))</f>
        <v/>
      </c>
      <c r="BK57" s="7" t="str">
        <f>IF(VLOOKUP($B57,'[1]Cost Analysis'!$C:$FO,100,FALSE)=0,"",VLOOKUP($B57,'[1]Cost Analysis'!$C:$FO,100,FALSE))</f>
        <v/>
      </c>
      <c r="BL57" s="7" t="str">
        <f>IF(VLOOKUP($B57,'[1]Cost Analysis'!$C:$FO,101,FALSE)=0,"",VLOOKUP($B57,'[1]Cost Analysis'!$C:$FO,101,FALSE))</f>
        <v/>
      </c>
      <c r="BM57" s="7" t="str">
        <f>IF(VLOOKUP($B57,'[1]Cost Analysis'!$C:$FO,102,FALSE)=0,"",VLOOKUP($B57,'[1]Cost Analysis'!$C:$FO,102,FALSE))</f>
        <v/>
      </c>
      <c r="BN57" s="7" t="str">
        <f>IF(VLOOKUP($B57,'[1]Cost Analysis'!$C:$FO,103,FALSE)=0,"",VLOOKUP($B57,'[1]Cost Analysis'!$C:$FO,103,FALSE))</f>
        <v/>
      </c>
      <c r="BO57" s="7" t="str">
        <f>IF(VLOOKUP($B57,'[1]Cost Analysis'!$C:$FO,104,FALSE)=0,"",VLOOKUP($B57,'[1]Cost Analysis'!$C:$FO,104,FALSE))</f>
        <v/>
      </c>
      <c r="BP57" s="7" t="str">
        <f>IF(VLOOKUP($B57,'[1]Cost Analysis'!$C:$FO,105,FALSE)=0,"",VLOOKUP($B57,'[1]Cost Analysis'!$C:$FO,105,FALSE))</f>
        <v/>
      </c>
      <c r="BQ57" s="7" t="str">
        <f>IF(VLOOKUP($B57,'[1]Cost Analysis'!$C:$FO,106,FALSE)=0,"",VLOOKUP($B57,'[1]Cost Analysis'!$C:$FO,106,FALSE))</f>
        <v/>
      </c>
      <c r="BR57" s="7" t="str">
        <f>IF(VLOOKUP($B57,'[1]Cost Analysis'!$C:$FO,107,FALSE)=0,"",VLOOKUP($B57,'[1]Cost Analysis'!$C:$FO,107,FALSE))</f>
        <v/>
      </c>
      <c r="BS57" s="7" t="str">
        <f>IF(VLOOKUP($B57,'[1]Cost Analysis'!$C:$FO,108,FALSE)=0,"",VLOOKUP($B57,'[1]Cost Analysis'!$C:$FO,108,FALSE))</f>
        <v/>
      </c>
      <c r="BT57" s="7" t="str">
        <f>IF(VLOOKUP($B57,'[1]Cost Analysis'!$C:$FO,109,FALSE)=0,"",VLOOKUP($B57,'[1]Cost Analysis'!$C:$FO,109,FALSE))</f>
        <v/>
      </c>
      <c r="BU57" s="7" t="str">
        <f>IF(VLOOKUP($B57,'[1]Cost Analysis'!$C:$FO,110,FALSE)=0,"",VLOOKUP($B57,'[1]Cost Analysis'!$C:$FO,110,FALSE))</f>
        <v/>
      </c>
      <c r="BV57" s="7" t="str">
        <f>IF(VLOOKUP($B57,'[1]Cost Analysis'!$C:$FO,111,FALSE)=0,"",VLOOKUP($B57,'[1]Cost Analysis'!$C:$FO,111,FALSE))</f>
        <v/>
      </c>
      <c r="BW57" s="7" t="str">
        <f>IF(VLOOKUP($B57,'[1]Cost Analysis'!$C:$FO,112,FALSE)=0,"",VLOOKUP($B57,'[1]Cost Analysis'!$C:$FO,112,FALSE))</f>
        <v/>
      </c>
      <c r="BX57" s="7" t="str">
        <f>IF(VLOOKUP($B57,'[1]Cost Analysis'!$C:$FO,125,FALSE)=0,"",VLOOKUP($B57,'[1]Cost Analysis'!$C:$FO,125,FALSE))</f>
        <v/>
      </c>
      <c r="BY57" s="7" t="str">
        <f>IF(VLOOKUP($B57,'[1]Cost Analysis'!$C:$FO,126,FALSE)=0,"",VLOOKUP($B57,'[1]Cost Analysis'!$C:$FO,126,FALSE))</f>
        <v/>
      </c>
      <c r="BZ57" s="7" t="str">
        <f>IF(VLOOKUP($B57,'[1]Cost Analysis'!$C:$FO,127,FALSE)=0,"",VLOOKUP($B57,'[1]Cost Analysis'!$C:$FO,127,FALSE))</f>
        <v/>
      </c>
      <c r="CA57" s="7" t="str">
        <f>IF(VLOOKUP($B57,'[1]Cost Analysis'!$C:$FO,128,FALSE)=0,"",VLOOKUP($B57,'[1]Cost Analysis'!$C:$FO,128,FALSE))</f>
        <v/>
      </c>
      <c r="CB57" s="7" t="str">
        <f>IF(VLOOKUP($B57,'[1]Cost Analysis'!$C:$FO,129,FALSE)=0,"",VLOOKUP($B57,'[1]Cost Analysis'!$C:$FO,129,FALSE))</f>
        <v/>
      </c>
      <c r="CC57" s="7" t="str">
        <f>IF(VLOOKUP($B57,'[1]Cost Analysis'!$C:$FO,130,FALSE)=0,"",VLOOKUP($B57,'[1]Cost Analysis'!$C:$FO,130,FALSE))</f>
        <v/>
      </c>
      <c r="CD57" s="7" t="str">
        <f>IF(VLOOKUP($B57,'[1]Cost Analysis'!$C:$FO,131,FALSE)=0,"",VLOOKUP($B57,'[1]Cost Analysis'!$C:$FO,131,FALSE))</f>
        <v/>
      </c>
      <c r="CE57" s="7" t="str">
        <f>IF(VLOOKUP($B57,'[1]Cost Analysis'!$C:$FO,132,FALSE)=0,"",VLOOKUP($B57,'[1]Cost Analysis'!$C:$FO,132,FALSE))</f>
        <v/>
      </c>
      <c r="CF57" s="7" t="str">
        <f>IF(VLOOKUP($B57,'[1]Cost Analysis'!$C:$FO,133,FALSE)=0,"",VLOOKUP($B57,'[1]Cost Analysis'!$C:$FO,133,FALSE))</f>
        <v/>
      </c>
      <c r="CG57" s="7" t="str">
        <f>IF(VLOOKUP($B57,'[1]Cost Analysis'!$C:$FO,134,FALSE)=0,"",VLOOKUP($B57,'[1]Cost Analysis'!$C:$FO,134,FALSE))</f>
        <v/>
      </c>
      <c r="CH57" s="7" t="str">
        <f>IF(VLOOKUP($B57,'[1]Cost Analysis'!$C:$FO,135,FALSE)=0,"",VLOOKUP($B57,'[1]Cost Analysis'!$C:$FO,135,FALSE))</f>
        <v/>
      </c>
      <c r="CI57" s="7" t="str">
        <f>IF(VLOOKUP($B57,'[1]Cost Analysis'!$C:$FO,136,FALSE)=0,"",VLOOKUP($B57,'[1]Cost Analysis'!$C:$FO,136,FALSE))</f>
        <v/>
      </c>
      <c r="CJ57" s="7" t="str">
        <f>IF(VLOOKUP($B57,'[1]Cost Analysis'!$C:$FO,137,FALSE)=0,"",VLOOKUP($B57,'[1]Cost Analysis'!$C:$FO,137,FALSE))</f>
        <v/>
      </c>
      <c r="CK57" s="7" t="str">
        <f>IF(VLOOKUP($B57,'[1]Cost Analysis'!$C:$FO,138,FALSE)=0,"",VLOOKUP($B57,'[1]Cost Analysis'!$C:$FO,138,FALSE))</f>
        <v/>
      </c>
      <c r="CL57" s="7" t="str">
        <f>IF(VLOOKUP($B57,'[1]Cost Analysis'!$C:$FO,139,FALSE)=0,"",VLOOKUP($B57,'[1]Cost Analysis'!$C:$FO,139,FALSE))</f>
        <v/>
      </c>
    </row>
  </sheetData>
  <autoFilter ref="A1:CL43" xr:uid="{D5C16C55-E43A-4AC9-8010-FB558D53C90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5F29D-33A4-4466-B21D-5CA30A175F76}">
  <dimension ref="A1:N28"/>
  <sheetViews>
    <sheetView zoomScale="70" zoomScaleNormal="70" workbookViewId="0"/>
  </sheetViews>
  <sheetFormatPr defaultRowHeight="15" x14ac:dyDescent="0.25"/>
  <cols>
    <col min="1" max="1" width="35" bestFit="1" customWidth="1"/>
    <col min="2" max="2" width="18.7109375" bestFit="1" customWidth="1"/>
    <col min="3" max="3" width="15.85546875" bestFit="1" customWidth="1"/>
    <col min="4" max="4" width="16.42578125" bestFit="1" customWidth="1"/>
    <col min="5" max="5" width="19.7109375" bestFit="1" customWidth="1"/>
    <col min="6" max="6" width="21" bestFit="1" customWidth="1"/>
    <col min="7" max="7" width="18.140625" bestFit="1" customWidth="1"/>
    <col min="8" max="8" width="24.85546875" bestFit="1" customWidth="1"/>
    <col min="9" max="9" width="29.5703125" bestFit="1" customWidth="1"/>
    <col min="10" max="10" width="40" bestFit="1" customWidth="1"/>
    <col min="11" max="11" width="38.7109375" bestFit="1" customWidth="1"/>
    <col min="12" max="12" width="23.140625" bestFit="1" customWidth="1"/>
    <col min="13" max="13" width="24.85546875" bestFit="1" customWidth="1"/>
    <col min="14" max="14" width="17.28515625" bestFit="1" customWidth="1"/>
  </cols>
  <sheetData>
    <row r="1" spans="1:14" x14ac:dyDescent="0.25">
      <c r="A1" s="32" t="s">
        <v>163</v>
      </c>
      <c r="B1" t="s">
        <v>162</v>
      </c>
      <c r="C1" t="s">
        <v>161</v>
      </c>
      <c r="D1" t="s">
        <v>160</v>
      </c>
      <c r="E1" t="s">
        <v>159</v>
      </c>
      <c r="F1" t="s">
        <v>158</v>
      </c>
      <c r="G1" t="s">
        <v>157</v>
      </c>
      <c r="H1" t="s">
        <v>156</v>
      </c>
      <c r="I1" t="s">
        <v>155</v>
      </c>
      <c r="J1" t="s">
        <v>154</v>
      </c>
      <c r="K1" t="s">
        <v>153</v>
      </c>
      <c r="L1" t="s">
        <v>152</v>
      </c>
      <c r="M1" t="s">
        <v>151</v>
      </c>
      <c r="N1" t="s">
        <v>150</v>
      </c>
    </row>
    <row r="2" spans="1:14" x14ac:dyDescent="0.25">
      <c r="A2" s="31" t="s">
        <v>57</v>
      </c>
      <c r="B2" s="30">
        <v>1130801.5899999999</v>
      </c>
      <c r="C2" s="30">
        <v>879051</v>
      </c>
      <c r="D2" s="30">
        <v>240000</v>
      </c>
      <c r="E2" s="30">
        <v>140736</v>
      </c>
      <c r="F2" s="30">
        <v>0</v>
      </c>
      <c r="G2" s="30">
        <v>200000</v>
      </c>
      <c r="H2" s="30">
        <v>0</v>
      </c>
      <c r="I2" s="30">
        <v>0</v>
      </c>
      <c r="J2" s="30">
        <v>645948</v>
      </c>
      <c r="K2" s="30">
        <v>12128463.810000001</v>
      </c>
      <c r="L2" s="30">
        <v>-169700</v>
      </c>
      <c r="M2" s="30">
        <v>0</v>
      </c>
      <c r="N2" s="30">
        <v>-350931</v>
      </c>
    </row>
    <row r="3" spans="1:14" x14ac:dyDescent="0.25">
      <c r="A3" s="31" t="s">
        <v>48</v>
      </c>
      <c r="B3" s="30">
        <v>4967658.2130019991</v>
      </c>
      <c r="C3" s="30">
        <v>1592848.1643980001</v>
      </c>
      <c r="D3" s="30">
        <v>1059435.67</v>
      </c>
      <c r="E3" s="30">
        <v>183414</v>
      </c>
      <c r="F3" s="30">
        <v>254596.04</v>
      </c>
      <c r="G3" s="30">
        <v>807248.03250000044</v>
      </c>
      <c r="H3" s="30">
        <v>325541.73</v>
      </c>
      <c r="I3" s="30">
        <v>689125</v>
      </c>
      <c r="J3" s="30">
        <v>502235.25</v>
      </c>
      <c r="K3" s="30">
        <v>43460922.156889021</v>
      </c>
      <c r="L3" s="30">
        <v>-235624</v>
      </c>
      <c r="M3" s="30">
        <v>-55599</v>
      </c>
      <c r="N3" s="30">
        <v>-647500</v>
      </c>
    </row>
    <row r="4" spans="1:14" x14ac:dyDescent="0.25">
      <c r="A4" s="31" t="s">
        <v>43</v>
      </c>
      <c r="B4" s="30">
        <v>22898351.84</v>
      </c>
      <c r="C4" s="30">
        <v>6998906</v>
      </c>
      <c r="D4" s="30">
        <v>6106206</v>
      </c>
      <c r="E4" s="30">
        <v>434701</v>
      </c>
      <c r="F4" s="30">
        <v>0</v>
      </c>
      <c r="G4" s="30">
        <v>617156</v>
      </c>
      <c r="H4" s="30">
        <v>0</v>
      </c>
      <c r="I4" s="30">
        <v>546700</v>
      </c>
      <c r="J4" s="30">
        <v>50300</v>
      </c>
      <c r="K4" s="30">
        <v>84887679.159999996</v>
      </c>
      <c r="L4" s="30">
        <v>-300000</v>
      </c>
      <c r="M4" s="30">
        <v>0</v>
      </c>
      <c r="N4" s="30">
        <v>-750000</v>
      </c>
    </row>
    <row r="5" spans="1:14" x14ac:dyDescent="0.25">
      <c r="A5" s="31" t="s">
        <v>37</v>
      </c>
      <c r="B5" s="30">
        <v>16052777</v>
      </c>
      <c r="C5" s="30">
        <v>3168000</v>
      </c>
      <c r="D5" s="30">
        <v>307000</v>
      </c>
      <c r="E5" s="30">
        <v>788116</v>
      </c>
      <c r="F5" s="30">
        <v>3072683</v>
      </c>
      <c r="G5" s="30">
        <v>553272</v>
      </c>
      <c r="H5" s="30">
        <v>0</v>
      </c>
      <c r="I5" s="30">
        <v>0</v>
      </c>
      <c r="J5" s="30">
        <v>7001039.7062499998</v>
      </c>
      <c r="K5" s="30">
        <v>25917381.706250001</v>
      </c>
      <c r="L5" s="30">
        <v>-99617.8</v>
      </c>
      <c r="M5" s="30">
        <v>0</v>
      </c>
      <c r="N5" s="30">
        <v>-425000</v>
      </c>
    </row>
    <row r="6" spans="1:14" x14ac:dyDescent="0.25">
      <c r="A6" s="31" t="s">
        <v>20</v>
      </c>
      <c r="B6" s="30">
        <v>2359448</v>
      </c>
      <c r="C6" s="30">
        <v>1068480</v>
      </c>
      <c r="D6" s="30">
        <v>740740</v>
      </c>
      <c r="E6" s="30">
        <v>357200</v>
      </c>
      <c r="F6" s="30">
        <v>679542</v>
      </c>
      <c r="G6" s="30">
        <v>1711476</v>
      </c>
      <c r="H6" s="30">
        <v>0</v>
      </c>
      <c r="I6" s="30">
        <v>580375</v>
      </c>
      <c r="J6" s="30">
        <v>0</v>
      </c>
      <c r="K6" s="30">
        <v>16517486</v>
      </c>
      <c r="L6" s="30">
        <v>-414103</v>
      </c>
      <c r="M6" s="30">
        <v>-142814</v>
      </c>
      <c r="N6" s="30">
        <v>-1000000</v>
      </c>
    </row>
    <row r="7" spans="1:14" x14ac:dyDescent="0.25">
      <c r="A7" s="31" t="s">
        <v>27</v>
      </c>
      <c r="B7" s="30">
        <v>1096000</v>
      </c>
      <c r="C7" s="30">
        <v>3357410</v>
      </c>
      <c r="D7" s="30">
        <v>1467133</v>
      </c>
      <c r="E7" s="30">
        <v>169375</v>
      </c>
      <c r="F7" s="30">
        <v>505440</v>
      </c>
      <c r="G7" s="30">
        <v>2335100</v>
      </c>
      <c r="H7" s="30">
        <v>0</v>
      </c>
      <c r="I7" s="30">
        <v>0</v>
      </c>
      <c r="J7" s="30">
        <v>0</v>
      </c>
      <c r="K7" s="30">
        <v>15804978</v>
      </c>
      <c r="L7" s="30">
        <v>-459000</v>
      </c>
      <c r="M7" s="30">
        <v>-990064</v>
      </c>
      <c r="N7" s="30">
        <v>-1000000</v>
      </c>
    </row>
    <row r="8" spans="1:14" x14ac:dyDescent="0.25">
      <c r="A8" s="31" t="s">
        <v>19</v>
      </c>
      <c r="B8" s="30">
        <v>7230000</v>
      </c>
      <c r="C8" s="30">
        <v>2925000</v>
      </c>
      <c r="D8" s="30">
        <v>1050000</v>
      </c>
      <c r="E8" s="30">
        <v>151700</v>
      </c>
      <c r="F8" s="30">
        <v>374500</v>
      </c>
      <c r="G8" s="30">
        <v>340000</v>
      </c>
      <c r="H8" s="30">
        <v>0</v>
      </c>
      <c r="I8" s="30">
        <v>0</v>
      </c>
      <c r="J8" s="30">
        <v>2283800</v>
      </c>
      <c r="K8" s="30">
        <v>42507863.5</v>
      </c>
      <c r="L8" s="30">
        <v>-619232</v>
      </c>
      <c r="M8" s="30">
        <v>-111363</v>
      </c>
      <c r="N8" s="30">
        <v>-1000000</v>
      </c>
    </row>
    <row r="9" spans="1:14" x14ac:dyDescent="0.25">
      <c r="A9" s="31" t="s">
        <v>35</v>
      </c>
      <c r="B9" s="30">
        <v>2859020.71</v>
      </c>
      <c r="C9" s="30">
        <v>245125</v>
      </c>
      <c r="D9" s="30">
        <v>153472</v>
      </c>
      <c r="E9" s="30">
        <v>69500</v>
      </c>
      <c r="F9" s="30">
        <v>39415</v>
      </c>
      <c r="G9" s="30">
        <v>41750</v>
      </c>
      <c r="H9" s="30">
        <v>0</v>
      </c>
      <c r="I9" s="30">
        <v>0</v>
      </c>
      <c r="J9" s="30">
        <v>423479.42</v>
      </c>
      <c r="K9" s="30">
        <v>7052230.21</v>
      </c>
      <c r="L9" s="30">
        <v>-6400</v>
      </c>
      <c r="M9" s="30">
        <v>-19088</v>
      </c>
      <c r="N9" s="30">
        <v>-167458.5</v>
      </c>
    </row>
    <row r="10" spans="1:14" x14ac:dyDescent="0.25">
      <c r="A10" s="31" t="s">
        <v>51</v>
      </c>
      <c r="B10" s="30">
        <v>5414207.7699999996</v>
      </c>
      <c r="C10" s="30">
        <v>1755748.5</v>
      </c>
      <c r="D10" s="30">
        <v>356582</v>
      </c>
      <c r="E10" s="30">
        <v>462963.94</v>
      </c>
      <c r="F10" s="30">
        <v>157000</v>
      </c>
      <c r="G10" s="30">
        <v>246715.67</v>
      </c>
      <c r="H10" s="30">
        <v>50000</v>
      </c>
      <c r="I10" s="30">
        <v>53050</v>
      </c>
      <c r="J10" s="30">
        <v>198249.76</v>
      </c>
      <c r="K10" s="30">
        <v>18820784.210000005</v>
      </c>
      <c r="L10" s="30">
        <v>-145660</v>
      </c>
      <c r="M10" s="30">
        <v>-49394</v>
      </c>
      <c r="N10" s="30">
        <v>-500000</v>
      </c>
    </row>
    <row r="11" spans="1:14" x14ac:dyDescent="0.25">
      <c r="A11" s="31" t="s">
        <v>45</v>
      </c>
      <c r="B11" s="30">
        <v>823994</v>
      </c>
      <c r="C11" s="30">
        <v>520783</v>
      </c>
      <c r="D11" s="30">
        <v>73950</v>
      </c>
      <c r="E11" s="30">
        <v>410325</v>
      </c>
      <c r="F11" s="30">
        <v>571158</v>
      </c>
      <c r="G11" s="30">
        <v>41511</v>
      </c>
      <c r="H11" s="30">
        <v>0</v>
      </c>
      <c r="I11" s="30">
        <v>0</v>
      </c>
      <c r="J11" s="30">
        <v>64637.931034482703</v>
      </c>
      <c r="K11" s="30">
        <v>11648847</v>
      </c>
      <c r="L11" s="30">
        <v>-978000</v>
      </c>
      <c r="M11" s="30">
        <v>-140885</v>
      </c>
      <c r="N11" s="30">
        <v>-727236</v>
      </c>
    </row>
    <row r="12" spans="1:14" x14ac:dyDescent="0.25">
      <c r="A12" s="31" t="s">
        <v>33</v>
      </c>
      <c r="B12" s="30">
        <v>13820490</v>
      </c>
      <c r="C12" s="30">
        <v>3860000</v>
      </c>
      <c r="D12" s="30">
        <v>1521600</v>
      </c>
      <c r="E12" s="30">
        <v>291269</v>
      </c>
      <c r="F12" s="30">
        <v>263398</v>
      </c>
      <c r="G12" s="30">
        <v>468693</v>
      </c>
      <c r="H12" s="30">
        <v>0</v>
      </c>
      <c r="I12" s="30">
        <v>142906</v>
      </c>
      <c r="J12" s="30">
        <v>0</v>
      </c>
      <c r="K12" s="30">
        <v>50797762.190000005</v>
      </c>
      <c r="L12" s="30">
        <v>-300000</v>
      </c>
      <c r="M12" s="30">
        <v>0</v>
      </c>
      <c r="N12" s="30">
        <v>-850000</v>
      </c>
    </row>
    <row r="13" spans="1:14" x14ac:dyDescent="0.25">
      <c r="A13" s="31" t="s">
        <v>21</v>
      </c>
      <c r="B13" s="30">
        <v>2407694.9310000003</v>
      </c>
      <c r="C13" s="30">
        <v>2900092.81</v>
      </c>
      <c r="D13" s="30">
        <v>1545000</v>
      </c>
      <c r="E13" s="30">
        <v>374147</v>
      </c>
      <c r="F13" s="30">
        <v>411400</v>
      </c>
      <c r="G13" s="30">
        <v>281632.424</v>
      </c>
      <c r="H13" s="30">
        <v>0</v>
      </c>
      <c r="I13" s="30">
        <v>37000</v>
      </c>
      <c r="J13" s="30">
        <v>1742800</v>
      </c>
      <c r="K13" s="30">
        <v>42929555.668200001</v>
      </c>
      <c r="L13" s="30">
        <v>-555000</v>
      </c>
      <c r="M13" s="30">
        <v>0</v>
      </c>
      <c r="N13" s="30">
        <v>-1000000</v>
      </c>
    </row>
    <row r="14" spans="1:14" x14ac:dyDescent="0.25">
      <c r="A14" s="31" t="s">
        <v>49</v>
      </c>
      <c r="B14" s="30">
        <v>6779865.4409556938</v>
      </c>
      <c r="C14" s="30">
        <v>5074592.0401127683</v>
      </c>
      <c r="D14" s="30">
        <v>3559889.2908018893</v>
      </c>
      <c r="E14" s="30">
        <v>572717.54664717428</v>
      </c>
      <c r="F14" s="30">
        <v>232500</v>
      </c>
      <c r="G14" s="30">
        <v>400000</v>
      </c>
      <c r="H14" s="30">
        <v>0</v>
      </c>
      <c r="I14" s="30">
        <v>189900</v>
      </c>
      <c r="J14" s="30">
        <v>0</v>
      </c>
      <c r="K14" s="30">
        <v>82895592.980247587</v>
      </c>
      <c r="L14" s="30">
        <v>-700000</v>
      </c>
      <c r="M14" s="30">
        <v>-100000</v>
      </c>
      <c r="N14" s="30">
        <v>-1000000</v>
      </c>
    </row>
    <row r="15" spans="1:14" x14ac:dyDescent="0.25">
      <c r="A15" s="31" t="s">
        <v>40</v>
      </c>
      <c r="B15" s="30">
        <v>96977.91</v>
      </c>
      <c r="C15" s="30">
        <v>8539.65</v>
      </c>
      <c r="D15" s="30">
        <v>5400</v>
      </c>
      <c r="E15" s="30">
        <v>7000</v>
      </c>
      <c r="F15" s="30">
        <v>27815</v>
      </c>
      <c r="G15" s="30">
        <v>2147.13</v>
      </c>
      <c r="H15" s="30">
        <v>2300</v>
      </c>
      <c r="I15" s="30">
        <v>7650</v>
      </c>
      <c r="J15" s="30">
        <v>5000</v>
      </c>
      <c r="K15" s="30">
        <v>289777.65999999997</v>
      </c>
      <c r="L15" s="30">
        <v>-12600</v>
      </c>
      <c r="M15" s="30">
        <v>-14255</v>
      </c>
      <c r="N15" s="30">
        <v>-39467</v>
      </c>
    </row>
    <row r="16" spans="1:14" x14ac:dyDescent="0.25">
      <c r="A16" s="31" t="s">
        <v>39</v>
      </c>
      <c r="B16" s="30">
        <v>4079691.16</v>
      </c>
      <c r="C16" s="30">
        <v>3770484.94</v>
      </c>
      <c r="D16" s="30">
        <v>3048214.42</v>
      </c>
      <c r="E16" s="30">
        <v>63526</v>
      </c>
      <c r="F16" s="30">
        <v>682830</v>
      </c>
      <c r="G16" s="30">
        <v>141119.70000000001</v>
      </c>
      <c r="H16" s="30">
        <v>365000</v>
      </c>
      <c r="I16" s="30">
        <v>73675</v>
      </c>
      <c r="J16" s="30">
        <v>0</v>
      </c>
      <c r="K16" s="30">
        <v>35399236.420000002</v>
      </c>
      <c r="L16" s="30">
        <v>-270600</v>
      </c>
      <c r="M16" s="30">
        <v>-20400</v>
      </c>
      <c r="N16" s="30">
        <v>-250000</v>
      </c>
    </row>
    <row r="17" spans="1:14" x14ac:dyDescent="0.25">
      <c r="A17" s="31" t="s">
        <v>52</v>
      </c>
      <c r="B17" s="30">
        <v>8918168</v>
      </c>
      <c r="C17" s="30">
        <v>2028100</v>
      </c>
      <c r="D17" s="30">
        <v>91500</v>
      </c>
      <c r="E17" s="30">
        <v>404336</v>
      </c>
      <c r="F17" s="30">
        <v>339261</v>
      </c>
      <c r="G17" s="30">
        <v>639515.63</v>
      </c>
      <c r="H17" s="30">
        <v>403739.06</v>
      </c>
      <c r="I17" s="30">
        <v>45775</v>
      </c>
      <c r="J17" s="30">
        <v>100000</v>
      </c>
      <c r="K17" s="30">
        <v>81164882.149999991</v>
      </c>
      <c r="L17" s="30">
        <v>-508200</v>
      </c>
      <c r="M17" s="30">
        <v>0</v>
      </c>
      <c r="N17" s="30">
        <v>-750000</v>
      </c>
    </row>
    <row r="18" spans="1:14" x14ac:dyDescent="0.25">
      <c r="A18" s="31" t="s">
        <v>38</v>
      </c>
      <c r="B18" s="30">
        <v>64925.8</v>
      </c>
      <c r="C18" s="30">
        <v>30000</v>
      </c>
      <c r="D18" s="30">
        <v>12400</v>
      </c>
      <c r="E18" s="30">
        <v>21000</v>
      </c>
      <c r="F18" s="30">
        <v>34600</v>
      </c>
      <c r="G18" s="30">
        <v>750</v>
      </c>
      <c r="H18" s="30">
        <v>0</v>
      </c>
      <c r="I18" s="30">
        <v>0</v>
      </c>
      <c r="J18" s="30">
        <v>0</v>
      </c>
      <c r="K18" s="30">
        <v>500484.2</v>
      </c>
      <c r="L18" s="30">
        <v>-6400</v>
      </c>
      <c r="M18" s="30">
        <v>-14933</v>
      </c>
      <c r="N18" s="30">
        <v>-59976</v>
      </c>
    </row>
    <row r="19" spans="1:14" x14ac:dyDescent="0.25">
      <c r="A19" s="31" t="s">
        <v>53</v>
      </c>
      <c r="B19" s="30">
        <v>5651719.0199999996</v>
      </c>
      <c r="C19" s="30">
        <v>1965400</v>
      </c>
      <c r="D19" s="30">
        <v>1791250</v>
      </c>
      <c r="E19" s="30">
        <v>239216.96</v>
      </c>
      <c r="F19" s="30">
        <v>2535918.75</v>
      </c>
      <c r="G19" s="30">
        <v>294500</v>
      </c>
      <c r="H19" s="30">
        <v>0</v>
      </c>
      <c r="I19" s="30">
        <v>310000</v>
      </c>
      <c r="J19" s="30">
        <v>2405000</v>
      </c>
      <c r="K19" s="30">
        <v>41171001.610000007</v>
      </c>
      <c r="L19" s="30">
        <v>-339240</v>
      </c>
      <c r="M19" s="30">
        <v>-52250</v>
      </c>
      <c r="N19" s="30">
        <v>-637500</v>
      </c>
    </row>
    <row r="20" spans="1:14" x14ac:dyDescent="0.25">
      <c r="A20" s="31" t="s">
        <v>23</v>
      </c>
      <c r="B20" s="30">
        <v>1158315</v>
      </c>
      <c r="C20" s="30">
        <v>575523</v>
      </c>
      <c r="D20" s="30">
        <v>60000</v>
      </c>
      <c r="E20" s="30">
        <v>293556</v>
      </c>
      <c r="F20" s="30">
        <v>678000</v>
      </c>
      <c r="G20" s="30">
        <v>51000</v>
      </c>
      <c r="H20" s="30">
        <v>45000</v>
      </c>
      <c r="I20" s="30">
        <v>22372</v>
      </c>
      <c r="J20" s="30">
        <v>131321</v>
      </c>
      <c r="K20" s="30">
        <v>10040663.949999999</v>
      </c>
      <c r="L20" s="30">
        <v>-587500</v>
      </c>
      <c r="M20" s="30">
        <v>-415800</v>
      </c>
      <c r="N20" s="30">
        <v>-750000</v>
      </c>
    </row>
    <row r="21" spans="1:14" x14ac:dyDescent="0.25">
      <c r="A21" s="31" t="s">
        <v>50</v>
      </c>
      <c r="B21" s="30">
        <v>884237</v>
      </c>
      <c r="C21" s="30">
        <v>575523</v>
      </c>
      <c r="D21" s="30">
        <v>60000</v>
      </c>
      <c r="E21" s="30">
        <v>299400</v>
      </c>
      <c r="F21" s="30">
        <v>678000</v>
      </c>
      <c r="G21" s="30">
        <v>51000</v>
      </c>
      <c r="H21" s="30">
        <v>45000</v>
      </c>
      <c r="I21" s="30">
        <v>20826</v>
      </c>
      <c r="J21" s="30">
        <v>0</v>
      </c>
      <c r="K21" s="30">
        <v>8280460</v>
      </c>
      <c r="L21" s="30">
        <v>-571050</v>
      </c>
      <c r="M21" s="30">
        <v>-283035</v>
      </c>
      <c r="N21" s="30">
        <v>-750000</v>
      </c>
    </row>
    <row r="22" spans="1:14" x14ac:dyDescent="0.25">
      <c r="A22" s="31" t="s">
        <v>41</v>
      </c>
      <c r="B22" s="30">
        <v>1286500</v>
      </c>
      <c r="C22" s="30">
        <v>275000</v>
      </c>
      <c r="D22" s="30">
        <v>105000</v>
      </c>
      <c r="E22" s="30">
        <v>120000</v>
      </c>
      <c r="F22" s="30">
        <v>40000</v>
      </c>
      <c r="G22" s="30">
        <v>80000</v>
      </c>
      <c r="H22" s="30">
        <v>0</v>
      </c>
      <c r="I22" s="30">
        <v>0</v>
      </c>
      <c r="J22" s="30">
        <v>186730</v>
      </c>
      <c r="K22" s="30">
        <v>3887850</v>
      </c>
      <c r="L22" s="30">
        <v>-13608</v>
      </c>
      <c r="M22" s="30">
        <v>-29906</v>
      </c>
      <c r="N22" s="30">
        <v>-203082</v>
      </c>
    </row>
    <row r="23" spans="1:14" x14ac:dyDescent="0.25">
      <c r="A23" s="31" t="s">
        <v>24</v>
      </c>
      <c r="B23" s="30">
        <v>2579052</v>
      </c>
      <c r="C23" s="30">
        <v>2922400</v>
      </c>
      <c r="D23" s="30">
        <v>300000</v>
      </c>
      <c r="E23" s="30">
        <v>212800</v>
      </c>
      <c r="F23" s="30">
        <v>273845</v>
      </c>
      <c r="G23" s="30">
        <v>280000</v>
      </c>
      <c r="H23" s="30">
        <v>0</v>
      </c>
      <c r="I23" s="30">
        <v>0</v>
      </c>
      <c r="J23" s="30">
        <v>260966</v>
      </c>
      <c r="K23" s="30">
        <v>43128939.450000003</v>
      </c>
      <c r="L23" s="30">
        <v>-279680</v>
      </c>
      <c r="M23" s="30">
        <v>0</v>
      </c>
      <c r="N23" s="30">
        <v>-1000000</v>
      </c>
    </row>
    <row r="24" spans="1:14" x14ac:dyDescent="0.25">
      <c r="A24" s="31" t="s">
        <v>54</v>
      </c>
      <c r="B24" s="30">
        <v>8908493.25</v>
      </c>
      <c r="C24" s="30">
        <v>366127.82999999996</v>
      </c>
      <c r="D24" s="30">
        <v>575000</v>
      </c>
      <c r="E24" s="30">
        <v>625000</v>
      </c>
      <c r="F24" s="30">
        <v>679194.51</v>
      </c>
      <c r="G24" s="30">
        <v>300000</v>
      </c>
      <c r="H24" s="30">
        <v>0</v>
      </c>
      <c r="I24" s="30">
        <v>0</v>
      </c>
      <c r="J24" s="30">
        <v>1195947.3</v>
      </c>
      <c r="K24" s="30">
        <v>55205071.239999987</v>
      </c>
      <c r="L24" s="30">
        <v>-320000</v>
      </c>
      <c r="M24" s="30">
        <v>-185526</v>
      </c>
      <c r="N24" s="30">
        <v>-500000</v>
      </c>
    </row>
    <row r="25" spans="1:14" x14ac:dyDescent="0.25">
      <c r="A25" s="31" t="s">
        <v>32</v>
      </c>
      <c r="B25" s="30">
        <v>2770500</v>
      </c>
      <c r="C25" s="30">
        <v>1174200</v>
      </c>
      <c r="D25" s="30">
        <v>320280</v>
      </c>
      <c r="E25" s="30">
        <v>30642.95</v>
      </c>
      <c r="F25" s="30">
        <v>0</v>
      </c>
      <c r="G25" s="30">
        <v>888684</v>
      </c>
      <c r="H25" s="30">
        <v>0</v>
      </c>
      <c r="I25" s="30">
        <v>0</v>
      </c>
      <c r="J25" s="30">
        <v>1189475</v>
      </c>
      <c r="K25" s="30">
        <v>7697481.8899999997</v>
      </c>
      <c r="L25" s="30">
        <v>-513976</v>
      </c>
      <c r="M25" s="30">
        <v>0</v>
      </c>
      <c r="N25" s="30">
        <v>-792438</v>
      </c>
    </row>
    <row r="26" spans="1:14" x14ac:dyDescent="0.25">
      <c r="A26" s="31" t="s">
        <v>15</v>
      </c>
      <c r="B26" s="30">
        <v>4104825.5599999996</v>
      </c>
      <c r="C26" s="30">
        <v>695077</v>
      </c>
      <c r="D26" s="30">
        <v>1134500</v>
      </c>
      <c r="E26" s="30">
        <v>99865</v>
      </c>
      <c r="F26" s="30">
        <v>119136.74</v>
      </c>
      <c r="G26" s="30">
        <v>1135010</v>
      </c>
      <c r="H26" s="30">
        <v>0</v>
      </c>
      <c r="I26" s="30">
        <v>0</v>
      </c>
      <c r="J26" s="30">
        <v>224844.69387755101</v>
      </c>
      <c r="K26" s="30">
        <v>7763945.8999999994</v>
      </c>
      <c r="L26" s="30">
        <v>-115819</v>
      </c>
      <c r="M26" s="30">
        <v>-27878</v>
      </c>
      <c r="N26" s="30">
        <v>-362620</v>
      </c>
    </row>
    <row r="27" spans="1:14" x14ac:dyDescent="0.25">
      <c r="A27" s="31" t="s">
        <v>34</v>
      </c>
      <c r="B27" s="30">
        <v>1101500</v>
      </c>
      <c r="C27" s="30">
        <v>1100000</v>
      </c>
      <c r="D27" s="30">
        <v>50000</v>
      </c>
      <c r="E27" s="30">
        <v>110630</v>
      </c>
      <c r="F27" s="30">
        <v>475000</v>
      </c>
      <c r="G27" s="30">
        <v>10000</v>
      </c>
      <c r="H27" s="30">
        <v>215000</v>
      </c>
      <c r="I27" s="30">
        <v>45000</v>
      </c>
      <c r="J27" s="30">
        <v>0</v>
      </c>
      <c r="K27" s="30">
        <v>7440183</v>
      </c>
      <c r="L27" s="30">
        <v>-315040</v>
      </c>
      <c r="M27" s="30">
        <v>-313400</v>
      </c>
      <c r="N27" s="30">
        <v>-750000</v>
      </c>
    </row>
    <row r="28" spans="1:14" x14ac:dyDescent="0.25">
      <c r="A28" s="31" t="s">
        <v>149</v>
      </c>
      <c r="B28" s="30">
        <v>129445214.19495769</v>
      </c>
      <c r="C28" s="30">
        <v>49832411.93451076</v>
      </c>
      <c r="D28" s="30">
        <v>25734552.380801886</v>
      </c>
      <c r="E28" s="30">
        <v>6933137.3966471739</v>
      </c>
      <c r="F28" s="30">
        <v>13125233.039999999</v>
      </c>
      <c r="G28" s="30">
        <v>11918280.5865</v>
      </c>
      <c r="H28" s="30">
        <v>1451580.79</v>
      </c>
      <c r="I28" s="30">
        <v>2764354</v>
      </c>
      <c r="J28" s="30">
        <v>18611774.061162036</v>
      </c>
      <c r="K28" s="30">
        <v>757339524.06158674</v>
      </c>
      <c r="L28" s="30">
        <v>-8836049.8000000007</v>
      </c>
      <c r="M28" s="30">
        <v>-2966590</v>
      </c>
      <c r="N28" s="30">
        <v>-16263208.5</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Understanding the Data</vt:lpstr>
      <vt:lpstr>Project Cost Data</vt:lpstr>
      <vt:lpstr>Project Cost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Burger, Scott W (NYSERDA)</dc:creator>
  <cp:lastModifiedBy>Burger, Scott W (NYSERDA)</cp:lastModifiedBy>
  <dcterms:created xsi:type="dcterms:W3CDTF">2024-01-22T20:36:28Z</dcterms:created>
  <dcterms:modified xsi:type="dcterms:W3CDTF">2024-01-22T20:37:02Z</dcterms:modified>
</cp:coreProperties>
</file>