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\Documents\0Climate Act\2 Scoping Plan\Chapter Transportation\"/>
    </mc:Choice>
  </mc:AlternateContent>
  <xr:revisionPtr revIDLastSave="0" documentId="13_ncr:1_{0747D636-ACCE-4291-A0D3-73425AF4E246}" xr6:coauthVersionLast="47" xr6:coauthVersionMax="47" xr10:uidLastSave="{00000000-0000-0000-0000-000000000000}"/>
  <bookViews>
    <workbookView xWindow="-108" yWindow="-108" windowWidth="23256" windowHeight="12576" activeTab="3" xr2:uid="{EC7B62F2-75A9-4F9D-8BBD-18403827176B}"/>
  </bookViews>
  <sheets>
    <sheet name="Alternatives" sheetId="1" r:id="rId1"/>
    <sheet name="Diversion" sheetId="6" r:id="rId2"/>
    <sheet name="Population" sheetId="2" r:id="rId3"/>
    <sheet name="Markets" sheetId="5" r:id="rId4"/>
    <sheet name="Distance" sheetId="3" r:id="rId5"/>
    <sheet name="Boardings" sheetId="7" r:id="rId6"/>
    <sheet name="Table 11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9" i="5" l="1"/>
  <c r="Q65" i="5"/>
  <c r="K62" i="5" s="1"/>
  <c r="K83" i="5" s="1"/>
  <c r="L9" i="7"/>
  <c r="L7" i="7"/>
  <c r="L8" i="7"/>
  <c r="L6" i="7"/>
  <c r="L5" i="7"/>
  <c r="M75" i="5"/>
  <c r="N75" i="5" s="1"/>
  <c r="M74" i="5"/>
  <c r="M73" i="5"/>
  <c r="N74" i="5" s="1"/>
  <c r="P72" i="5"/>
  <c r="O72" i="5"/>
  <c r="N72" i="5"/>
  <c r="P73" i="5" s="1"/>
  <c r="B85" i="5"/>
  <c r="C85" i="5"/>
  <c r="D85" i="5"/>
  <c r="F85" i="5"/>
  <c r="E85" i="5"/>
  <c r="E84" i="5"/>
  <c r="D84" i="5"/>
  <c r="D83" i="5"/>
  <c r="C84" i="5"/>
  <c r="C83" i="5"/>
  <c r="C82" i="5"/>
  <c r="B84" i="5"/>
  <c r="B83" i="5"/>
  <c r="B82" i="5"/>
  <c r="B81" i="5"/>
  <c r="E75" i="5"/>
  <c r="E74" i="5"/>
  <c r="D75" i="5"/>
  <c r="D74" i="5"/>
  <c r="D73" i="5"/>
  <c r="K60" i="5"/>
  <c r="K81" i="5" s="1"/>
  <c r="K61" i="5"/>
  <c r="K82" i="5" s="1"/>
  <c r="K64" i="5"/>
  <c r="K85" i="5" s="1"/>
  <c r="L61" i="5"/>
  <c r="L82" i="5" s="1"/>
  <c r="L64" i="5"/>
  <c r="L85" i="5" s="1"/>
  <c r="M62" i="5"/>
  <c r="M83" i="5" s="1"/>
  <c r="N63" i="5"/>
  <c r="N84" i="5" s="1"/>
  <c r="N64" i="5"/>
  <c r="N85" i="5" s="1"/>
  <c r="G21" i="5"/>
  <c r="G32" i="5"/>
  <c r="G84" i="5"/>
  <c r="G83" i="5"/>
  <c r="F83" i="5"/>
  <c r="G82" i="5"/>
  <c r="F82" i="5"/>
  <c r="E82" i="5"/>
  <c r="G81" i="5"/>
  <c r="F81" i="5"/>
  <c r="E81" i="5"/>
  <c r="D81" i="5"/>
  <c r="G80" i="5"/>
  <c r="F80" i="5"/>
  <c r="E80" i="5"/>
  <c r="D80" i="5"/>
  <c r="C80" i="5"/>
  <c r="G73" i="5"/>
  <c r="F73" i="5"/>
  <c r="G72" i="5"/>
  <c r="F72" i="5"/>
  <c r="E72" i="5"/>
  <c r="C60" i="5"/>
  <c r="D60" i="5"/>
  <c r="E60" i="5"/>
  <c r="F60" i="5"/>
  <c r="G60" i="5"/>
  <c r="D61" i="5"/>
  <c r="E61" i="5"/>
  <c r="F61" i="5"/>
  <c r="G61" i="5"/>
  <c r="G65" i="5" s="1"/>
  <c r="E62" i="5"/>
  <c r="F62" i="5"/>
  <c r="G62" i="5"/>
  <c r="F63" i="5"/>
  <c r="G63" i="5"/>
  <c r="G64" i="5"/>
  <c r="C59" i="5"/>
  <c r="D59" i="5"/>
  <c r="E59" i="5"/>
  <c r="F59" i="5"/>
  <c r="G59" i="5"/>
  <c r="B59" i="5"/>
  <c r="C49" i="5"/>
  <c r="D49" i="5"/>
  <c r="E49" i="5"/>
  <c r="F49" i="5"/>
  <c r="G49" i="5"/>
  <c r="G54" i="5" s="1"/>
  <c r="D50" i="5"/>
  <c r="E50" i="5"/>
  <c r="F50" i="5"/>
  <c r="G50" i="5"/>
  <c r="E51" i="5"/>
  <c r="F51" i="5"/>
  <c r="G51" i="5"/>
  <c r="F52" i="5"/>
  <c r="G52" i="5"/>
  <c r="G53" i="5"/>
  <c r="C48" i="5"/>
  <c r="D48" i="5"/>
  <c r="E48" i="5"/>
  <c r="F48" i="5"/>
  <c r="G48" i="5"/>
  <c r="B48" i="5"/>
  <c r="H48" i="5"/>
  <c r="B38" i="5"/>
  <c r="C38" i="5"/>
  <c r="D38" i="5"/>
  <c r="E38" i="5"/>
  <c r="F38" i="5"/>
  <c r="G38" i="5"/>
  <c r="B39" i="5"/>
  <c r="C39" i="5"/>
  <c r="D39" i="5"/>
  <c r="E39" i="5"/>
  <c r="F39" i="5"/>
  <c r="G39" i="5"/>
  <c r="G43" i="5" s="1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C37" i="5"/>
  <c r="D37" i="5"/>
  <c r="E37" i="5"/>
  <c r="F37" i="5"/>
  <c r="G37" i="5"/>
  <c r="B37" i="5"/>
  <c r="M5" i="6"/>
  <c r="M6" i="6"/>
  <c r="M7" i="6"/>
  <c r="M8" i="6"/>
  <c r="M9" i="6"/>
  <c r="M10" i="6"/>
  <c r="M4" i="6"/>
  <c r="C14" i="6"/>
  <c r="C11" i="6"/>
  <c r="M64" i="5" l="1"/>
  <c r="M85" i="5" s="1"/>
  <c r="L63" i="5"/>
  <c r="L84" i="5" s="1"/>
  <c r="K63" i="5"/>
  <c r="K84" i="5" s="1"/>
  <c r="O64" i="5"/>
  <c r="O85" i="5" s="1"/>
  <c r="M63" i="5"/>
  <c r="M84" i="5" s="1"/>
  <c r="L62" i="5"/>
  <c r="L83" i="5" s="1"/>
  <c r="H85" i="5"/>
  <c r="O73" i="5"/>
  <c r="B43" i="5"/>
  <c r="C43" i="5"/>
  <c r="H39" i="5"/>
  <c r="H41" i="5"/>
  <c r="H40" i="5"/>
  <c r="H38" i="5"/>
  <c r="H42" i="5"/>
  <c r="H59" i="5"/>
  <c r="F43" i="5"/>
  <c r="E43" i="5"/>
  <c r="D43" i="5"/>
  <c r="H37" i="5"/>
  <c r="I23" i="3" l="1"/>
  <c r="C23" i="3"/>
  <c r="B27" i="5"/>
  <c r="C27" i="5"/>
  <c r="D27" i="5"/>
  <c r="E27" i="5"/>
  <c r="F27" i="5"/>
  <c r="G27" i="5"/>
  <c r="B28" i="5"/>
  <c r="B50" i="5" s="1"/>
  <c r="C28" i="5"/>
  <c r="D28" i="5"/>
  <c r="E28" i="5"/>
  <c r="F28" i="5"/>
  <c r="G28" i="5"/>
  <c r="B29" i="5"/>
  <c r="B51" i="5" s="1"/>
  <c r="C29" i="5"/>
  <c r="C51" i="5" s="1"/>
  <c r="C62" i="5" s="1"/>
  <c r="D29" i="5"/>
  <c r="E29" i="5"/>
  <c r="F29" i="5"/>
  <c r="G29" i="5"/>
  <c r="B30" i="5"/>
  <c r="B52" i="5" s="1"/>
  <c r="C30" i="5"/>
  <c r="C52" i="5" s="1"/>
  <c r="C63" i="5" s="1"/>
  <c r="D30" i="5"/>
  <c r="D52" i="5" s="1"/>
  <c r="D63" i="5" s="1"/>
  <c r="E30" i="5"/>
  <c r="F30" i="5"/>
  <c r="G30" i="5"/>
  <c r="B31" i="5"/>
  <c r="B53" i="5" s="1"/>
  <c r="C31" i="5"/>
  <c r="C53" i="5" s="1"/>
  <c r="C64" i="5" s="1"/>
  <c r="D31" i="5"/>
  <c r="D53" i="5" s="1"/>
  <c r="D64" i="5" s="1"/>
  <c r="E31" i="5"/>
  <c r="E53" i="5" s="1"/>
  <c r="E64" i="5" s="1"/>
  <c r="F31" i="5"/>
  <c r="G31" i="5"/>
  <c r="C26" i="5"/>
  <c r="D26" i="5"/>
  <c r="E26" i="5"/>
  <c r="F26" i="5"/>
  <c r="G26" i="5"/>
  <c r="B26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E21" i="5" s="1"/>
  <c r="F19" i="5"/>
  <c r="G19" i="5"/>
  <c r="B20" i="5"/>
  <c r="C20" i="5"/>
  <c r="D20" i="5"/>
  <c r="E20" i="5"/>
  <c r="F20" i="5"/>
  <c r="F21" i="5" s="1"/>
  <c r="G20" i="5"/>
  <c r="C15" i="5"/>
  <c r="D15" i="5"/>
  <c r="E15" i="5"/>
  <c r="F15" i="5"/>
  <c r="G15" i="5"/>
  <c r="B15" i="5"/>
  <c r="B8" i="4"/>
  <c r="B21" i="5" l="1"/>
  <c r="B49" i="5"/>
  <c r="H49" i="5" s="1"/>
  <c r="B32" i="5"/>
  <c r="H17" i="5"/>
  <c r="C21" i="5"/>
  <c r="C50" i="5"/>
  <c r="C32" i="5"/>
  <c r="D21" i="5"/>
  <c r="D51" i="5"/>
  <c r="D32" i="5"/>
  <c r="E52" i="5"/>
  <c r="E63" i="5" s="1"/>
  <c r="E65" i="5" s="1"/>
  <c r="E32" i="5"/>
  <c r="F53" i="5"/>
  <c r="F32" i="5"/>
  <c r="F64" i="5"/>
  <c r="F65" i="5" s="1"/>
  <c r="F54" i="5"/>
  <c r="D62" i="5"/>
  <c r="D65" i="5" s="1"/>
  <c r="D54" i="5"/>
  <c r="H18" i="5"/>
  <c r="H19" i="5"/>
  <c r="C61" i="5"/>
  <c r="C65" i="5" s="1"/>
  <c r="C54" i="5"/>
  <c r="B61" i="5"/>
  <c r="H50" i="5"/>
  <c r="B64" i="5"/>
  <c r="H64" i="5" s="1"/>
  <c r="H53" i="5"/>
  <c r="B62" i="5"/>
  <c r="H62" i="5" s="1"/>
  <c r="H51" i="5"/>
  <c r="B54" i="5"/>
  <c r="B63" i="5"/>
  <c r="H20" i="5"/>
  <c r="H16" i="5"/>
  <c r="H31" i="5"/>
  <c r="H29" i="5"/>
  <c r="H28" i="5"/>
  <c r="H27" i="5"/>
  <c r="H30" i="5"/>
  <c r="H26" i="5"/>
  <c r="H15" i="5"/>
  <c r="I24" i="3"/>
  <c r="F8" i="3"/>
  <c r="C24" i="3" s="1"/>
  <c r="F9" i="3"/>
  <c r="C25" i="3" s="1"/>
  <c r="I25" i="3" s="1"/>
  <c r="E8" i="3"/>
  <c r="C20" i="3" s="1"/>
  <c r="C19" i="3" s="1"/>
  <c r="E9" i="3"/>
  <c r="C21" i="3" s="1"/>
  <c r="E13" i="3"/>
  <c r="C22" i="3" s="1"/>
  <c r="B60" i="5" l="1"/>
  <c r="H60" i="5" s="1"/>
  <c r="H63" i="5"/>
  <c r="H52" i="5"/>
  <c r="E54" i="5"/>
  <c r="H54" i="5" s="1"/>
  <c r="H61" i="5"/>
  <c r="B65" i="5"/>
  <c r="H65" i="5" s="1"/>
  <c r="J14" i="1"/>
  <c r="F10" i="1"/>
  <c r="N60" i="5" l="1"/>
  <c r="N81" i="5" s="1"/>
  <c r="M61" i="5"/>
  <c r="N62" i="5"/>
  <c r="O63" i="5"/>
  <c r="M59" i="5"/>
  <c r="K59" i="5"/>
  <c r="K65" i="5" s="1"/>
  <c r="N59" i="5"/>
  <c r="O60" i="5"/>
  <c r="O81" i="5" s="1"/>
  <c r="N61" i="5"/>
  <c r="N82" i="5" s="1"/>
  <c r="O62" i="5"/>
  <c r="O83" i="5" s="1"/>
  <c r="P63" i="5"/>
  <c r="P84" i="5" s="1"/>
  <c r="L60" i="5"/>
  <c r="P60" i="5"/>
  <c r="P81" i="5" s="1"/>
  <c r="O61" i="5"/>
  <c r="O82" i="5" s="1"/>
  <c r="P62" i="5"/>
  <c r="P83" i="5" s="1"/>
  <c r="P64" i="5"/>
  <c r="Q64" i="5" s="1"/>
  <c r="O59" i="5"/>
  <c r="M60" i="5"/>
  <c r="M81" i="5" s="1"/>
  <c r="P61" i="5"/>
  <c r="P82" i="5" s="1"/>
  <c r="L59" i="5"/>
  <c r="P59" i="5"/>
  <c r="L80" i="5" l="1"/>
  <c r="L65" i="5"/>
  <c r="N80" i="5"/>
  <c r="N65" i="5"/>
  <c r="P80" i="5"/>
  <c r="P65" i="5"/>
  <c r="O80" i="5"/>
  <c r="O65" i="5"/>
  <c r="M80" i="5"/>
  <c r="M65" i="5"/>
  <c r="Q60" i="5"/>
  <c r="Q63" i="5"/>
  <c r="Q62" i="5"/>
  <c r="Q61" i="5"/>
  <c r="Q85" i="5" l="1"/>
</calcChain>
</file>

<file path=xl/sharedStrings.xml><?xml version="1.0" encoding="utf-8"?>
<sst xmlns="http://schemas.openxmlformats.org/spreadsheetml/2006/main" count="321" uniqueCount="91">
  <si>
    <t>Alternative 90A</t>
  </si>
  <si>
    <t>Alternative 90B</t>
  </si>
  <si>
    <t>Alternative 110</t>
  </si>
  <si>
    <t>Alternative 125</t>
  </si>
  <si>
    <t>Gain above Base Alternative 2035</t>
  </si>
  <si>
    <t>Capital cost ($ billion)</t>
  </si>
  <si>
    <t>Annual Revenue ($ million)</t>
  </si>
  <si>
    <t>Annual O&amp;M Costs ($ million)</t>
  </si>
  <si>
    <t>Annual Deficit ($ million)</t>
  </si>
  <si>
    <t>Annual subsidy per rider</t>
  </si>
  <si>
    <t>Base Alternative</t>
  </si>
  <si>
    <t>Total ridership (million)</t>
  </si>
  <si>
    <t>Ridership Gain (million)</t>
  </si>
  <si>
    <t>Train Frequency NYC - Albany</t>
  </si>
  <si>
    <t>Frequency Albany - Buffalo</t>
  </si>
  <si>
    <t xml:space="preserve">Trips continuing to Niagara Falls </t>
  </si>
  <si>
    <t>Average running speed (mph)</t>
  </si>
  <si>
    <t>Trip Time NYC to Niagara Falls</t>
  </si>
  <si>
    <t>Exhibit ES-3—Comparison of Empire Corridor Alternatives</t>
  </si>
  <si>
    <t>Auto</t>
  </si>
  <si>
    <t>Rail</t>
  </si>
  <si>
    <t>Bus</t>
  </si>
  <si>
    <t>Air</t>
  </si>
  <si>
    <t>*</t>
  </si>
  <si>
    <t>Total</t>
  </si>
  <si>
    <t>%</t>
  </si>
  <si>
    <t>Albany</t>
  </si>
  <si>
    <t>Utica</t>
  </si>
  <si>
    <t>Syracuse</t>
  </si>
  <si>
    <t>Rochester</t>
  </si>
  <si>
    <t>Buffalo</t>
  </si>
  <si>
    <t>West to East</t>
  </si>
  <si>
    <t>Distance</t>
  </si>
  <si>
    <t>Average</t>
  </si>
  <si>
    <t>Speed</t>
  </si>
  <si>
    <t>Niagara</t>
  </si>
  <si>
    <t>Monroe</t>
  </si>
  <si>
    <t>Onondaga</t>
  </si>
  <si>
    <t>NYC</t>
  </si>
  <si>
    <t>Measure</t>
  </si>
  <si>
    <t>Rail Improvements</t>
  </si>
  <si>
    <t>Per-Unit Cost</t>
  </si>
  <si>
    <t>$6/mile</t>
  </si>
  <si>
    <t>200 million light duty vehicle miles will be reduced relative to Scenarios 2 and 3 in 2050</t>
  </si>
  <si>
    <t>Units</t>
  </si>
  <si>
    <t>million light duty vehicle miles will be reduced</t>
  </si>
  <si>
    <t>Cost per mile</t>
  </si>
  <si>
    <t>-</t>
  </si>
  <si>
    <t>Exhibit 2-21—2009 Major Market to Market Boardings</t>
  </si>
  <si>
    <t>Exhibit 6-6—Ridership by Base Alternative, 2035</t>
  </si>
  <si>
    <t>Exhibit 6-6—Ridership by Scenario 4 Alternative, 2035</t>
  </si>
  <si>
    <t>Cost $billion</t>
  </si>
  <si>
    <t>2050 Reference</t>
  </si>
  <si>
    <t>N/A</t>
  </si>
  <si>
    <t>Enhanced Transit and Mobility</t>
  </si>
  <si>
    <t>Telework and TDM</t>
  </si>
  <si>
    <t>Smart Growth and Biking/Walking/Modeshifting</t>
  </si>
  <si>
    <t>Change</t>
  </si>
  <si>
    <t>Total Reductions</t>
  </si>
  <si>
    <t>Table 11</t>
  </si>
  <si>
    <t>Table 9</t>
  </si>
  <si>
    <t>Table 10</t>
  </si>
  <si>
    <t>Million VMT</t>
  </si>
  <si>
    <t>Reduction</t>
  </si>
  <si>
    <t>State Total</t>
  </si>
  <si>
    <t>VMT Reductions:</t>
  </si>
  <si>
    <t>Base</t>
  </si>
  <si>
    <t>—</t>
  </si>
  <si>
    <t>90A</t>
  </si>
  <si>
    <t>90B</t>
  </si>
  <si>
    <t>Alternatives</t>
  </si>
  <si>
    <t>Autos</t>
  </si>
  <si>
    <t>One-Way Trips</t>
  </si>
  <si>
    <t>Diversion from Highways</t>
  </si>
  <si>
    <t>Estimated at 1.5 persons per car</t>
  </si>
  <si>
    <t>Delta 100 125</t>
  </si>
  <si>
    <t>Miles per auto trip diverted</t>
  </si>
  <si>
    <t>Distances</t>
  </si>
  <si>
    <t>Highway</t>
  </si>
  <si>
    <t>Exhibit 6-6—Ridership by Scenario 3 Alternative, 2035</t>
  </si>
  <si>
    <t>Ridership Delta Scenario 3 and Scenario 4</t>
  </si>
  <si>
    <t>VMT</t>
  </si>
  <si>
    <t xml:space="preserve">Base </t>
  </si>
  <si>
    <t xml:space="preserve"> 90A</t>
  </si>
  <si>
    <t xml:space="preserve"> 90B</t>
  </si>
  <si>
    <t>Trip Origins</t>
  </si>
  <si>
    <t>Trips Destinations</t>
  </si>
  <si>
    <t>Auto Trips Delta based on 1.5 riders per vehicle and ridership projections</t>
  </si>
  <si>
    <t>Auto Trips Delta based on Exhibit 2-21—2009 Major Market to Market Boardings</t>
  </si>
  <si>
    <t>Distances between station pairs</t>
  </si>
  <si>
    <t>Vehicle Miles Traveled Diverted Difference Between 110-mph and 125-mph Alternatives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</si>
</sst>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_);[Red]\(&quot;$&quot;#,##0.0\)"/>
    <numFmt numFmtId="17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8" fontId="0" fillId="0" borderId="1" xfId="0" applyNumberFormat="1" applyBorder="1"/>
    <xf numFmtId="164" fontId="0" fillId="0" borderId="1" xfId="0" applyNumberFormat="1" applyBorder="1"/>
    <xf numFmtId="6" fontId="0" fillId="0" borderId="1" xfId="0" applyNumberFormat="1" applyBorder="1"/>
    <xf numFmtId="0" fontId="0" fillId="0" borderId="1" xfId="0" applyFont="1" applyBorder="1"/>
    <xf numFmtId="0" fontId="1" fillId="0" borderId="1" xfId="0" applyFont="1" applyFill="1" applyBorder="1" applyAlignment="1">
      <alignment horizontal="right"/>
    </xf>
    <xf numFmtId="20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0" xfId="0" applyNumberFormat="1"/>
    <xf numFmtId="175" fontId="0" fillId="0" borderId="0" xfId="0" applyNumberFormat="1"/>
    <xf numFmtId="9" fontId="0" fillId="0" borderId="0" xfId="0" applyNumberFormat="1"/>
    <xf numFmtId="0" fontId="1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30F3-8F0C-4E5C-88A7-24D99568C302}">
  <dimension ref="A1:J16"/>
  <sheetViews>
    <sheetView workbookViewId="0">
      <selection sqref="A1:F16"/>
    </sheetView>
  </sheetViews>
  <sheetFormatPr defaultRowHeight="14.4" x14ac:dyDescent="0.3"/>
  <cols>
    <col min="1" max="1" width="28.44140625" bestFit="1" customWidth="1"/>
    <col min="2" max="4" width="7.109375" bestFit="1" customWidth="1"/>
    <col min="5" max="5" width="6.109375" bestFit="1" customWidth="1"/>
    <col min="6" max="6" width="7.109375" bestFit="1" customWidth="1"/>
  </cols>
  <sheetData>
    <row r="1" spans="1:10" x14ac:dyDescent="0.3">
      <c r="A1" s="2" t="s">
        <v>18</v>
      </c>
    </row>
    <row r="2" spans="1:10" x14ac:dyDescent="0.3">
      <c r="A2" s="2"/>
    </row>
    <row r="3" spans="1:10" x14ac:dyDescent="0.3">
      <c r="B3" s="14" t="s">
        <v>70</v>
      </c>
      <c r="C3" s="14"/>
      <c r="D3" s="14"/>
      <c r="E3" s="14"/>
      <c r="F3" s="14"/>
    </row>
    <row r="4" spans="1:10" x14ac:dyDescent="0.3">
      <c r="A4" s="3"/>
      <c r="B4" s="15" t="s">
        <v>82</v>
      </c>
      <c r="C4" s="15" t="s">
        <v>83</v>
      </c>
      <c r="D4" s="15" t="s">
        <v>84</v>
      </c>
      <c r="E4" s="15">
        <v>110</v>
      </c>
      <c r="F4" s="15">
        <v>125</v>
      </c>
    </row>
    <row r="5" spans="1:10" x14ac:dyDescent="0.3">
      <c r="A5" s="4" t="s">
        <v>13</v>
      </c>
      <c r="B5" s="10">
        <v>13</v>
      </c>
      <c r="C5" s="10">
        <v>16</v>
      </c>
      <c r="D5" s="10">
        <v>17</v>
      </c>
      <c r="E5" s="10">
        <v>17</v>
      </c>
      <c r="F5" s="10">
        <v>24</v>
      </c>
    </row>
    <row r="6" spans="1:10" x14ac:dyDescent="0.3">
      <c r="A6" s="4" t="s">
        <v>14</v>
      </c>
      <c r="B6" s="10">
        <v>4</v>
      </c>
      <c r="C6" s="10">
        <v>8</v>
      </c>
      <c r="D6" s="10">
        <v>8</v>
      </c>
      <c r="E6" s="10">
        <v>8</v>
      </c>
      <c r="F6" s="10">
        <v>19</v>
      </c>
    </row>
    <row r="7" spans="1:10" x14ac:dyDescent="0.3">
      <c r="A7" s="4" t="s">
        <v>15</v>
      </c>
      <c r="B7" s="10">
        <v>3</v>
      </c>
      <c r="C7" s="10">
        <v>7</v>
      </c>
      <c r="D7" s="10">
        <v>7</v>
      </c>
      <c r="E7" s="10">
        <v>7</v>
      </c>
      <c r="F7" s="10">
        <v>6</v>
      </c>
    </row>
    <row r="8" spans="1:10" x14ac:dyDescent="0.3">
      <c r="A8" s="4" t="s">
        <v>16</v>
      </c>
      <c r="B8" s="10">
        <v>51</v>
      </c>
      <c r="C8" s="10">
        <v>57</v>
      </c>
      <c r="D8" s="10">
        <v>61</v>
      </c>
      <c r="E8" s="10">
        <v>63</v>
      </c>
      <c r="F8" s="10">
        <v>77</v>
      </c>
    </row>
    <row r="9" spans="1:10" x14ac:dyDescent="0.3">
      <c r="A9" s="4" t="s">
        <v>11</v>
      </c>
      <c r="B9" s="5">
        <v>1.6</v>
      </c>
      <c r="C9" s="5">
        <v>2.2999999999999998</v>
      </c>
      <c r="D9" s="5">
        <v>2.6</v>
      </c>
      <c r="E9" s="5">
        <v>2.8</v>
      </c>
      <c r="F9" s="5">
        <v>4.3</v>
      </c>
    </row>
    <row r="10" spans="1:10" x14ac:dyDescent="0.3">
      <c r="A10" s="4" t="s">
        <v>12</v>
      </c>
      <c r="B10" s="5"/>
      <c r="C10" s="6">
        <v>0.7</v>
      </c>
      <c r="D10" s="6">
        <v>1</v>
      </c>
      <c r="E10" s="5">
        <v>1.2</v>
      </c>
      <c r="F10" s="5">
        <f>F9-B9</f>
        <v>2.6999999999999997</v>
      </c>
      <c r="G10" t="s">
        <v>4</v>
      </c>
    </row>
    <row r="11" spans="1:10" x14ac:dyDescent="0.3">
      <c r="A11" s="4" t="s">
        <v>5</v>
      </c>
      <c r="B11" s="8">
        <v>0.28999999999999998</v>
      </c>
      <c r="C11" s="8">
        <v>1.66</v>
      </c>
      <c r="D11" s="8">
        <v>5.58</v>
      </c>
      <c r="E11" s="8">
        <v>6.25</v>
      </c>
      <c r="F11" s="8">
        <v>14.71</v>
      </c>
    </row>
    <row r="12" spans="1:10" x14ac:dyDescent="0.3">
      <c r="A12" s="4" t="s">
        <v>7</v>
      </c>
      <c r="B12" s="9">
        <v>103</v>
      </c>
      <c r="C12" s="9">
        <v>156</v>
      </c>
      <c r="D12" s="9">
        <v>171</v>
      </c>
      <c r="E12" s="9">
        <v>173</v>
      </c>
      <c r="F12" s="9">
        <v>304</v>
      </c>
      <c r="J12">
        <v>200</v>
      </c>
    </row>
    <row r="13" spans="1:10" x14ac:dyDescent="0.3">
      <c r="A13" s="4" t="s">
        <v>6</v>
      </c>
      <c r="B13" s="9">
        <v>77</v>
      </c>
      <c r="C13" s="9">
        <v>119</v>
      </c>
      <c r="D13" s="9">
        <v>139</v>
      </c>
      <c r="E13" s="9">
        <v>149</v>
      </c>
      <c r="F13" s="9">
        <v>245</v>
      </c>
      <c r="J13">
        <v>6</v>
      </c>
    </row>
    <row r="14" spans="1:10" x14ac:dyDescent="0.3">
      <c r="A14" s="4" t="s">
        <v>8</v>
      </c>
      <c r="B14" s="9">
        <v>26</v>
      </c>
      <c r="C14" s="9">
        <v>37</v>
      </c>
      <c r="D14" s="9">
        <v>32</v>
      </c>
      <c r="E14" s="9">
        <v>24</v>
      </c>
      <c r="F14" s="9">
        <v>59</v>
      </c>
      <c r="J14">
        <f>J12*J13</f>
        <v>1200</v>
      </c>
    </row>
    <row r="15" spans="1:10" x14ac:dyDescent="0.3">
      <c r="A15" s="4" t="s">
        <v>9</v>
      </c>
      <c r="B15" s="7">
        <v>16.25</v>
      </c>
      <c r="C15" s="7">
        <v>16.09</v>
      </c>
      <c r="D15" s="7">
        <v>12.31</v>
      </c>
      <c r="E15" s="7">
        <v>8.57</v>
      </c>
      <c r="F15" s="7">
        <v>13.72</v>
      </c>
    </row>
    <row r="16" spans="1:10" x14ac:dyDescent="0.3">
      <c r="A16" s="11" t="s">
        <v>17</v>
      </c>
      <c r="B16" s="12">
        <v>0.37916666666666665</v>
      </c>
      <c r="C16" s="12">
        <v>0.33888888888888885</v>
      </c>
      <c r="D16" s="12">
        <v>0.31666666666666665</v>
      </c>
      <c r="E16" s="12">
        <v>0.30694444444444441</v>
      </c>
      <c r="F16" s="12">
        <v>0.25138888888888888</v>
      </c>
    </row>
  </sheetData>
  <mergeCells count="1">
    <mergeCell ref="B3:F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6ED6-5E29-4855-8189-2BC3D6A9CE96}">
  <dimension ref="B2:M14"/>
  <sheetViews>
    <sheetView workbookViewId="0">
      <selection activeCell="J4" sqref="J4:K10"/>
    </sheetView>
  </sheetViews>
  <sheetFormatPr defaultRowHeight="14.4" x14ac:dyDescent="0.3"/>
  <cols>
    <col min="2" max="2" width="12.21875" bestFit="1" customWidth="1"/>
    <col min="3" max="3" width="9" customWidth="1"/>
    <col min="4" max="4" width="13.44140625" bestFit="1" customWidth="1"/>
  </cols>
  <sheetData>
    <row r="2" spans="2:13" x14ac:dyDescent="0.3">
      <c r="J2" t="s">
        <v>77</v>
      </c>
      <c r="M2" s="19">
        <v>0.1</v>
      </c>
    </row>
    <row r="3" spans="2:13" x14ac:dyDescent="0.3">
      <c r="C3" s="22" t="s">
        <v>73</v>
      </c>
      <c r="D3" s="22"/>
      <c r="L3" t="s">
        <v>20</v>
      </c>
      <c r="M3" t="s">
        <v>78</v>
      </c>
    </row>
    <row r="4" spans="2:13" x14ac:dyDescent="0.3">
      <c r="B4" s="2" t="s">
        <v>70</v>
      </c>
      <c r="C4" s="2" t="s">
        <v>71</v>
      </c>
      <c r="D4" s="2" t="s">
        <v>72</v>
      </c>
      <c r="E4" s="23" t="s">
        <v>74</v>
      </c>
      <c r="J4" t="s">
        <v>30</v>
      </c>
      <c r="K4" t="s">
        <v>38</v>
      </c>
      <c r="L4">
        <v>438.59999999999991</v>
      </c>
      <c r="M4" s="18">
        <f>L4*1.1</f>
        <v>482.45999999999992</v>
      </c>
    </row>
    <row r="5" spans="2:13" x14ac:dyDescent="0.3">
      <c r="B5" s="21" t="s">
        <v>66</v>
      </c>
      <c r="C5" t="s">
        <v>67</v>
      </c>
      <c r="D5" t="s">
        <v>67</v>
      </c>
      <c r="J5" t="s">
        <v>29</v>
      </c>
      <c r="K5" t="s">
        <v>38</v>
      </c>
      <c r="L5" s="18">
        <v>369.99999999999994</v>
      </c>
      <c r="M5" s="18">
        <f t="shared" ref="M5:M10" si="0">L5*1.1</f>
        <v>406.99999999999994</v>
      </c>
    </row>
    <row r="6" spans="2:13" x14ac:dyDescent="0.3">
      <c r="B6" s="21" t="s">
        <v>68</v>
      </c>
      <c r="C6" s="1">
        <v>84209</v>
      </c>
      <c r="D6" s="1">
        <v>126313</v>
      </c>
      <c r="J6" t="s">
        <v>28</v>
      </c>
      <c r="K6" t="s">
        <v>38</v>
      </c>
      <c r="L6">
        <v>290.49999999999994</v>
      </c>
      <c r="M6" s="18">
        <f t="shared" si="0"/>
        <v>319.54999999999995</v>
      </c>
    </row>
    <row r="7" spans="2:13" x14ac:dyDescent="0.3">
      <c r="B7" s="21" t="s">
        <v>69</v>
      </c>
      <c r="C7" s="1">
        <v>139519</v>
      </c>
      <c r="D7" s="1">
        <v>209279</v>
      </c>
      <c r="J7" t="s">
        <v>26</v>
      </c>
      <c r="K7" t="s">
        <v>38</v>
      </c>
      <c r="L7">
        <v>141.19999999999999</v>
      </c>
      <c r="M7" s="18">
        <f t="shared" si="0"/>
        <v>155.32</v>
      </c>
    </row>
    <row r="8" spans="2:13" x14ac:dyDescent="0.3">
      <c r="B8" s="21">
        <v>110</v>
      </c>
      <c r="C8" s="1">
        <v>177603</v>
      </c>
      <c r="D8" s="1">
        <v>266404</v>
      </c>
      <c r="J8" t="s">
        <v>30</v>
      </c>
      <c r="K8" t="s">
        <v>26</v>
      </c>
      <c r="L8">
        <v>297.39999999999992</v>
      </c>
      <c r="M8" s="18">
        <f t="shared" si="0"/>
        <v>327.13999999999993</v>
      </c>
    </row>
    <row r="9" spans="2:13" x14ac:dyDescent="0.3">
      <c r="B9" s="21">
        <v>125</v>
      </c>
      <c r="C9" s="1">
        <v>485078</v>
      </c>
      <c r="D9" s="1">
        <v>727616</v>
      </c>
      <c r="J9" t="s">
        <v>29</v>
      </c>
      <c r="K9" t="s">
        <v>26</v>
      </c>
      <c r="L9">
        <v>228.79999999999998</v>
      </c>
      <c r="M9" s="18">
        <f t="shared" si="0"/>
        <v>251.68</v>
      </c>
    </row>
    <row r="10" spans="2:13" x14ac:dyDescent="0.3">
      <c r="J10" t="s">
        <v>28</v>
      </c>
      <c r="K10" t="s">
        <v>26</v>
      </c>
      <c r="L10">
        <v>149.29999999999998</v>
      </c>
      <c r="M10" s="18">
        <f t="shared" si="0"/>
        <v>164.23</v>
      </c>
    </row>
    <row r="11" spans="2:13" x14ac:dyDescent="0.3">
      <c r="B11" s="24" t="s">
        <v>75</v>
      </c>
      <c r="C11" s="1">
        <f>C9-C8</f>
        <v>307475</v>
      </c>
    </row>
    <row r="13" spans="2:13" x14ac:dyDescent="0.3">
      <c r="C13">
        <v>200</v>
      </c>
      <c r="D13" t="s">
        <v>45</v>
      </c>
    </row>
    <row r="14" spans="2:13" x14ac:dyDescent="0.3">
      <c r="C14">
        <f>C13*1000000/C11</f>
        <v>650.45938694202778</v>
      </c>
      <c r="D14" t="s">
        <v>76</v>
      </c>
    </row>
  </sheetData>
  <mergeCells count="1"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3453-A157-4A67-941B-EABF4061D098}">
  <dimension ref="A3:K9"/>
  <sheetViews>
    <sheetView workbookViewId="0">
      <selection activeCell="F16" sqref="F16"/>
    </sheetView>
  </sheetViews>
  <sheetFormatPr defaultRowHeight="14.4" x14ac:dyDescent="0.3"/>
  <cols>
    <col min="1" max="1" width="5.21875" bestFit="1" customWidth="1"/>
    <col min="3" max="3" width="4" bestFit="1" customWidth="1"/>
    <col min="4" max="4" width="7.44140625" bestFit="1" customWidth="1"/>
    <col min="5" max="5" width="4" bestFit="1" customWidth="1"/>
    <col min="6" max="6" width="7.44140625" bestFit="1" customWidth="1"/>
    <col min="7" max="7" width="4" bestFit="1" customWidth="1"/>
    <col min="8" max="8" width="7.44140625" bestFit="1" customWidth="1"/>
    <col min="9" max="9" width="4" bestFit="1" customWidth="1"/>
    <col min="11" max="11" width="4" bestFit="1" customWidth="1"/>
  </cols>
  <sheetData>
    <row r="3" spans="1:11" x14ac:dyDescent="0.3">
      <c r="B3" s="14" t="s">
        <v>26</v>
      </c>
      <c r="C3" s="14"/>
      <c r="D3" s="14" t="s">
        <v>27</v>
      </c>
      <c r="E3" s="14"/>
      <c r="F3" s="14" t="s">
        <v>28</v>
      </c>
      <c r="G3" s="14"/>
      <c r="H3" s="14" t="s">
        <v>29</v>
      </c>
      <c r="I3" s="14"/>
      <c r="J3" s="14" t="s">
        <v>30</v>
      </c>
      <c r="K3" s="14"/>
    </row>
    <row r="4" spans="1:11" x14ac:dyDescent="0.3">
      <c r="B4" s="16" t="s">
        <v>24</v>
      </c>
      <c r="C4" s="16" t="s">
        <v>25</v>
      </c>
      <c r="D4" s="16" t="s">
        <v>24</v>
      </c>
      <c r="E4" s="16" t="s">
        <v>25</v>
      </c>
      <c r="F4" s="16" t="s">
        <v>24</v>
      </c>
      <c r="G4" s="16" t="s">
        <v>25</v>
      </c>
      <c r="H4" s="16" t="s">
        <v>24</v>
      </c>
      <c r="I4" s="16" t="s">
        <v>25</v>
      </c>
      <c r="J4" s="16" t="s">
        <v>24</v>
      </c>
      <c r="K4" s="16" t="s">
        <v>25</v>
      </c>
    </row>
    <row r="5" spans="1:11" x14ac:dyDescent="0.3">
      <c r="A5" s="3" t="s">
        <v>19</v>
      </c>
      <c r="B5" s="6">
        <v>2019534</v>
      </c>
      <c r="C5" s="5">
        <v>71</v>
      </c>
      <c r="D5" s="6">
        <v>134243</v>
      </c>
      <c r="E5" s="5">
        <v>41</v>
      </c>
      <c r="F5" s="6">
        <v>3584</v>
      </c>
      <c r="G5" s="5">
        <v>1</v>
      </c>
      <c r="H5" s="6">
        <v>25380</v>
      </c>
      <c r="I5" s="5">
        <v>5</v>
      </c>
      <c r="J5" s="6">
        <v>45129</v>
      </c>
      <c r="K5" s="5">
        <v>5</v>
      </c>
    </row>
    <row r="6" spans="1:11" x14ac:dyDescent="0.3">
      <c r="A6" s="3" t="s">
        <v>20</v>
      </c>
      <c r="B6" s="6">
        <v>320155</v>
      </c>
      <c r="C6" s="5">
        <v>11</v>
      </c>
      <c r="D6" s="6">
        <v>19858</v>
      </c>
      <c r="E6" s="5">
        <v>6</v>
      </c>
      <c r="F6" s="6">
        <v>29787</v>
      </c>
      <c r="G6" s="5">
        <v>5</v>
      </c>
      <c r="H6" s="6">
        <v>23427</v>
      </c>
      <c r="I6" s="5">
        <v>4</v>
      </c>
      <c r="J6" s="6">
        <v>29881</v>
      </c>
      <c r="K6" s="5">
        <v>3</v>
      </c>
    </row>
    <row r="7" spans="1:11" x14ac:dyDescent="0.3">
      <c r="A7" s="3" t="s">
        <v>21</v>
      </c>
      <c r="B7" s="6">
        <v>405460</v>
      </c>
      <c r="C7" s="5">
        <v>14</v>
      </c>
      <c r="D7" s="6">
        <v>176212</v>
      </c>
      <c r="E7" s="5">
        <v>53</v>
      </c>
      <c r="F7" s="6">
        <v>266885</v>
      </c>
      <c r="G7" s="5">
        <v>47</v>
      </c>
      <c r="H7" s="6">
        <v>217272</v>
      </c>
      <c r="I7" s="5">
        <v>38</v>
      </c>
      <c r="J7" s="6">
        <v>427700</v>
      </c>
      <c r="K7" s="5">
        <v>42</v>
      </c>
    </row>
    <row r="8" spans="1:11" x14ac:dyDescent="0.3">
      <c r="A8" s="3" t="s">
        <v>22</v>
      </c>
      <c r="B8" s="6">
        <v>99443</v>
      </c>
      <c r="C8" s="5">
        <v>4</v>
      </c>
      <c r="D8" s="5" t="s">
        <v>23</v>
      </c>
      <c r="E8" s="5" t="s">
        <v>23</v>
      </c>
      <c r="F8" s="6">
        <v>262706</v>
      </c>
      <c r="G8" s="5">
        <v>47</v>
      </c>
      <c r="H8" s="6">
        <v>298825</v>
      </c>
      <c r="I8" s="5">
        <v>53</v>
      </c>
      <c r="J8" s="6">
        <v>507489</v>
      </c>
      <c r="K8" s="5">
        <v>50</v>
      </c>
    </row>
    <row r="9" spans="1:11" x14ac:dyDescent="0.3">
      <c r="A9" s="3" t="s">
        <v>24</v>
      </c>
      <c r="B9" s="6">
        <v>2844592</v>
      </c>
      <c r="C9" s="5">
        <v>100</v>
      </c>
      <c r="D9" s="6">
        <v>330313</v>
      </c>
      <c r="E9" s="5">
        <v>100</v>
      </c>
      <c r="F9" s="6">
        <v>562962</v>
      </c>
      <c r="G9" s="5">
        <v>100</v>
      </c>
      <c r="H9" s="6">
        <v>564904</v>
      </c>
      <c r="I9" s="5">
        <v>100</v>
      </c>
      <c r="J9" s="6">
        <v>1010199</v>
      </c>
      <c r="K9" s="5">
        <v>100</v>
      </c>
    </row>
  </sheetData>
  <mergeCells count="5"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8DEB-6F18-4D05-9C6A-91CEBE21B989}">
  <dimension ref="A1:S85"/>
  <sheetViews>
    <sheetView tabSelected="1" topLeftCell="A61" workbookViewId="0">
      <selection activeCell="E98" sqref="E98"/>
    </sheetView>
  </sheetViews>
  <sheetFormatPr defaultRowHeight="14.4" x14ac:dyDescent="0.3"/>
  <cols>
    <col min="1" max="1" width="9.21875" bestFit="1" customWidth="1"/>
    <col min="2" max="3" width="9.88671875" bestFit="1" customWidth="1"/>
    <col min="4" max="4" width="8.88671875" bestFit="1" customWidth="1"/>
    <col min="5" max="7" width="9.88671875" bestFit="1" customWidth="1"/>
    <col min="8" max="8" width="10.88671875" bestFit="1" customWidth="1"/>
    <col min="11" max="12" width="9.88671875" bestFit="1" customWidth="1"/>
    <col min="17" max="17" width="10.88671875" bestFit="1" customWidth="1"/>
  </cols>
  <sheetData>
    <row r="1" spans="1:8" x14ac:dyDescent="0.3">
      <c r="A1" s="2" t="s">
        <v>48</v>
      </c>
    </row>
    <row r="3" spans="1:8" x14ac:dyDescent="0.3">
      <c r="B3" t="s">
        <v>38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24</v>
      </c>
    </row>
    <row r="4" spans="1:8" x14ac:dyDescent="0.3">
      <c r="A4" t="s">
        <v>38</v>
      </c>
      <c r="C4" s="1">
        <v>320155</v>
      </c>
      <c r="D4" s="1">
        <v>19858</v>
      </c>
      <c r="E4" s="1">
        <v>29787</v>
      </c>
      <c r="F4" s="1">
        <v>23427</v>
      </c>
      <c r="G4" s="1">
        <v>29881</v>
      </c>
      <c r="H4" s="1">
        <v>423108</v>
      </c>
    </row>
    <row r="5" spans="1:8" x14ac:dyDescent="0.3">
      <c r="A5" t="s">
        <v>26</v>
      </c>
      <c r="B5" s="1">
        <v>320155</v>
      </c>
      <c r="D5" s="1">
        <v>2082</v>
      </c>
      <c r="E5" s="1">
        <v>7013</v>
      </c>
      <c r="F5" s="1">
        <v>8224</v>
      </c>
      <c r="G5" s="1">
        <v>11133</v>
      </c>
      <c r="H5" s="1">
        <v>348607</v>
      </c>
    </row>
    <row r="6" spans="1:8" x14ac:dyDescent="0.3">
      <c r="A6" t="s">
        <v>27</v>
      </c>
      <c r="B6" s="1">
        <v>19858</v>
      </c>
      <c r="C6" s="1">
        <v>2082</v>
      </c>
      <c r="E6">
        <v>819</v>
      </c>
      <c r="F6" s="1">
        <v>1421</v>
      </c>
      <c r="G6" s="1">
        <v>2480</v>
      </c>
      <c r="H6" s="1">
        <v>26659</v>
      </c>
    </row>
    <row r="7" spans="1:8" x14ac:dyDescent="0.3">
      <c r="A7" t="s">
        <v>28</v>
      </c>
      <c r="B7" s="1">
        <v>29787</v>
      </c>
      <c r="C7" s="1">
        <v>7013</v>
      </c>
      <c r="D7">
        <v>819</v>
      </c>
      <c r="F7" s="1">
        <v>1794</v>
      </c>
      <c r="G7" s="1">
        <v>6466</v>
      </c>
      <c r="H7" s="1">
        <v>45878</v>
      </c>
    </row>
    <row r="8" spans="1:8" x14ac:dyDescent="0.3">
      <c r="A8" t="s">
        <v>29</v>
      </c>
      <c r="B8" s="1">
        <v>23427</v>
      </c>
      <c r="C8" s="1">
        <v>8224</v>
      </c>
      <c r="D8" s="1">
        <v>1421</v>
      </c>
      <c r="E8" s="1">
        <v>1794</v>
      </c>
      <c r="G8" s="1">
        <v>1862</v>
      </c>
      <c r="H8" s="1">
        <v>36728</v>
      </c>
    </row>
    <row r="9" spans="1:8" x14ac:dyDescent="0.3">
      <c r="A9" t="s">
        <v>30</v>
      </c>
      <c r="B9" s="1">
        <v>29881</v>
      </c>
      <c r="C9" s="1">
        <v>11133</v>
      </c>
      <c r="D9" s="1">
        <v>2480</v>
      </c>
      <c r="E9" s="1">
        <v>6466</v>
      </c>
      <c r="F9" s="1">
        <v>1862</v>
      </c>
      <c r="H9" s="1">
        <v>51821</v>
      </c>
    </row>
    <row r="10" spans="1:8" x14ac:dyDescent="0.3">
      <c r="A10" t="s">
        <v>24</v>
      </c>
      <c r="B10" s="1">
        <v>423108</v>
      </c>
      <c r="C10" s="1">
        <v>348607</v>
      </c>
      <c r="D10" s="1">
        <v>26659</v>
      </c>
      <c r="E10" s="1">
        <v>45878</v>
      </c>
      <c r="F10" s="1">
        <v>36728</v>
      </c>
      <c r="G10" s="1">
        <v>51821</v>
      </c>
      <c r="H10" s="1">
        <v>932801</v>
      </c>
    </row>
    <row r="12" spans="1:8" x14ac:dyDescent="0.3">
      <c r="A12" s="2" t="s">
        <v>49</v>
      </c>
    </row>
    <row r="14" spans="1:8" x14ac:dyDescent="0.3">
      <c r="B14" t="s">
        <v>38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  <c r="H14" t="s">
        <v>24</v>
      </c>
    </row>
    <row r="15" spans="1:8" x14ac:dyDescent="0.3">
      <c r="A15" t="s">
        <v>38</v>
      </c>
      <c r="B15" s="1">
        <f>B4*$H$21/$H$10</f>
        <v>0</v>
      </c>
      <c r="C15" s="1">
        <f t="shared" ref="C15:G15" si="0">C4*$H$21/$H$10</f>
        <v>549150.3546844396</v>
      </c>
      <c r="D15" s="1">
        <f t="shared" si="0"/>
        <v>34061.713055624939</v>
      </c>
      <c r="E15" s="1">
        <f t="shared" si="0"/>
        <v>51092.569583437413</v>
      </c>
      <c r="F15" s="1">
        <f t="shared" si="0"/>
        <v>40183.490369328509</v>
      </c>
      <c r="G15" s="1">
        <f t="shared" si="0"/>
        <v>51253.804402010719</v>
      </c>
      <c r="H15" s="1">
        <f>SUM(B15:G15)</f>
        <v>725741.93209484126</v>
      </c>
    </row>
    <row r="16" spans="1:8" x14ac:dyDescent="0.3">
      <c r="A16" t="s">
        <v>26</v>
      </c>
      <c r="B16" s="1">
        <f t="shared" ref="B16:G16" si="1">B5*$H$21/$H$10</f>
        <v>549150.3546844396</v>
      </c>
      <c r="C16" s="1">
        <f t="shared" si="1"/>
        <v>0</v>
      </c>
      <c r="D16" s="1">
        <f t="shared" si="1"/>
        <v>3571.1797049960282</v>
      </c>
      <c r="E16" s="1">
        <f t="shared" si="1"/>
        <v>12029.14662398518</v>
      </c>
      <c r="F16" s="1">
        <f t="shared" si="1"/>
        <v>14106.331361137049</v>
      </c>
      <c r="G16" s="1">
        <f t="shared" si="1"/>
        <v>19096.034416772709</v>
      </c>
      <c r="H16" s="1">
        <f t="shared" ref="H16:H20" si="2">SUM(B16:G16)</f>
        <v>597953.04679133056</v>
      </c>
    </row>
    <row r="17" spans="1:8" x14ac:dyDescent="0.3">
      <c r="A17" t="s">
        <v>27</v>
      </c>
      <c r="B17" s="1">
        <f t="shared" ref="B17:G17" si="3">B6*$H$21/$H$10</f>
        <v>34061.713055624939</v>
      </c>
      <c r="C17" s="1">
        <f t="shared" si="3"/>
        <v>3571.1797049960282</v>
      </c>
      <c r="D17" s="1">
        <f t="shared" si="3"/>
        <v>0</v>
      </c>
      <c r="E17" s="1">
        <f t="shared" si="3"/>
        <v>1404.8012384206277</v>
      </c>
      <c r="F17" s="1">
        <f t="shared" si="3"/>
        <v>2437.3901829007473</v>
      </c>
      <c r="G17" s="1">
        <f t="shared" si="3"/>
        <v>4253.8547878915224</v>
      </c>
      <c r="H17" s="1">
        <f t="shared" si="2"/>
        <v>45728.938969833864</v>
      </c>
    </row>
    <row r="18" spans="1:8" x14ac:dyDescent="0.3">
      <c r="A18" t="s">
        <v>28</v>
      </c>
      <c r="B18" s="1">
        <f t="shared" ref="B18:G18" si="4">B7*$H$21/$H$10</f>
        <v>51092.569583437413</v>
      </c>
      <c r="C18" s="1">
        <f t="shared" si="4"/>
        <v>12029.14662398518</v>
      </c>
      <c r="D18" s="1">
        <f t="shared" si="4"/>
        <v>1404.8012384206277</v>
      </c>
      <c r="E18" s="1">
        <f t="shared" si="4"/>
        <v>0</v>
      </c>
      <c r="F18" s="1">
        <f t="shared" si="4"/>
        <v>3077.1836651118515</v>
      </c>
      <c r="G18" s="1">
        <f t="shared" si="4"/>
        <v>11090.897201010719</v>
      </c>
      <c r="H18" s="1">
        <f t="shared" si="2"/>
        <v>78694.598311965805</v>
      </c>
    </row>
    <row r="19" spans="1:8" x14ac:dyDescent="0.3">
      <c r="A19" t="s">
        <v>29</v>
      </c>
      <c r="B19" s="1">
        <f t="shared" ref="B19:G19" si="5">B8*$H$21/$H$10</f>
        <v>40183.490369328509</v>
      </c>
      <c r="C19" s="1">
        <f t="shared" si="5"/>
        <v>14106.331361137049</v>
      </c>
      <c r="D19" s="1">
        <f t="shared" si="5"/>
        <v>2437.3901829007473</v>
      </c>
      <c r="E19" s="1">
        <f t="shared" si="5"/>
        <v>3077.1836651118515</v>
      </c>
      <c r="F19" s="1">
        <f t="shared" si="5"/>
        <v>0</v>
      </c>
      <c r="G19" s="1">
        <f t="shared" si="5"/>
        <v>3193.821618973393</v>
      </c>
      <c r="H19" s="1">
        <f t="shared" si="2"/>
        <v>62998.217197451544</v>
      </c>
    </row>
    <row r="20" spans="1:8" x14ac:dyDescent="0.3">
      <c r="A20" t="s">
        <v>30</v>
      </c>
      <c r="B20" s="1">
        <f t="shared" ref="B20:G20" si="6">B9*$H$21/$H$10</f>
        <v>51253.804402010719</v>
      </c>
      <c r="C20" s="1">
        <f t="shared" si="6"/>
        <v>19096.034416772709</v>
      </c>
      <c r="D20" s="1">
        <f t="shared" si="6"/>
        <v>4253.8547878915224</v>
      </c>
      <c r="E20" s="1">
        <f t="shared" si="6"/>
        <v>11090.897201010719</v>
      </c>
      <c r="F20" s="1">
        <f t="shared" si="6"/>
        <v>3193.821618973393</v>
      </c>
      <c r="G20" s="1">
        <f t="shared" si="6"/>
        <v>0</v>
      </c>
      <c r="H20" s="1">
        <f t="shared" si="2"/>
        <v>88888.412426659081</v>
      </c>
    </row>
    <row r="21" spans="1:8" x14ac:dyDescent="0.3">
      <c r="A21" t="s">
        <v>24</v>
      </c>
      <c r="B21" s="1">
        <f>SUM(B15:B20)</f>
        <v>725741.93209484126</v>
      </c>
      <c r="C21" s="1">
        <f t="shared" ref="C21:G21" si="7">SUM(C15:C20)</f>
        <v>597953.04679133056</v>
      </c>
      <c r="D21" s="1">
        <f t="shared" si="7"/>
        <v>45728.938969833864</v>
      </c>
      <c r="E21" s="1">
        <f t="shared" si="7"/>
        <v>78694.598311965805</v>
      </c>
      <c r="F21" s="1">
        <f t="shared" si="7"/>
        <v>62998.217197451544</v>
      </c>
      <c r="G21" s="1">
        <f t="shared" si="7"/>
        <v>88888.412426659081</v>
      </c>
      <c r="H21" s="1">
        <v>1600000</v>
      </c>
    </row>
    <row r="23" spans="1:8" x14ac:dyDescent="0.3">
      <c r="A23" s="2" t="s">
        <v>79</v>
      </c>
    </row>
    <row r="25" spans="1:8" x14ac:dyDescent="0.3">
      <c r="B25" t="s">
        <v>38</v>
      </c>
      <c r="C25" t="s">
        <v>26</v>
      </c>
      <c r="D25" t="s">
        <v>27</v>
      </c>
      <c r="E25" t="s">
        <v>28</v>
      </c>
      <c r="F25" t="s">
        <v>29</v>
      </c>
      <c r="G25" t="s">
        <v>30</v>
      </c>
      <c r="H25" t="s">
        <v>24</v>
      </c>
    </row>
    <row r="26" spans="1:8" x14ac:dyDescent="0.3">
      <c r="A26" t="s">
        <v>38</v>
      </c>
      <c r="B26" s="1">
        <f>B4*$H$32/$H$10</f>
        <v>0</v>
      </c>
      <c r="C26" s="1">
        <f t="shared" ref="C26:G26" si="8">C4*$H$32/$H$10</f>
        <v>961013.12069776945</v>
      </c>
      <c r="D26" s="1">
        <f t="shared" si="8"/>
        <v>59607.997847343642</v>
      </c>
      <c r="E26" s="1">
        <f t="shared" si="8"/>
        <v>89411.996771015474</v>
      </c>
      <c r="F26" s="1">
        <f t="shared" si="8"/>
        <v>70321.108146324885</v>
      </c>
      <c r="G26" s="1">
        <f t="shared" si="8"/>
        <v>89694.157703518751</v>
      </c>
      <c r="H26" s="1">
        <f>SUM(B26:G26)</f>
        <v>1270048.3811659724</v>
      </c>
    </row>
    <row r="27" spans="1:8" x14ac:dyDescent="0.3">
      <c r="A27" t="s">
        <v>26</v>
      </c>
      <c r="B27" s="1">
        <f t="shared" ref="B27:G27" si="9">B5*$H$32/$H$10</f>
        <v>961013.12069776945</v>
      </c>
      <c r="C27" s="1">
        <f t="shared" si="9"/>
        <v>0</v>
      </c>
      <c r="D27" s="1">
        <f t="shared" si="9"/>
        <v>6249.5644837430491</v>
      </c>
      <c r="E27" s="1">
        <f t="shared" si="9"/>
        <v>21051.006591974066</v>
      </c>
      <c r="F27" s="1">
        <f t="shared" si="9"/>
        <v>24686.079881989834</v>
      </c>
      <c r="G27" s="1">
        <f t="shared" si="9"/>
        <v>33418.060229352239</v>
      </c>
      <c r="H27" s="1">
        <f t="shared" ref="H27:H31" si="10">SUM(B27:G27)</f>
        <v>1046417.8318848286</v>
      </c>
    </row>
    <row r="28" spans="1:8" x14ac:dyDescent="0.3">
      <c r="A28" t="s">
        <v>27</v>
      </c>
      <c r="B28" s="1">
        <f t="shared" ref="B28:G28" si="11">B6*$H$32/$H$10</f>
        <v>59607.997847343642</v>
      </c>
      <c r="C28" s="1">
        <f t="shared" si="11"/>
        <v>6249.5644837430491</v>
      </c>
      <c r="D28" s="1">
        <f t="shared" si="11"/>
        <v>0</v>
      </c>
      <c r="E28" s="1">
        <f t="shared" si="11"/>
        <v>2458.4021672360986</v>
      </c>
      <c r="F28" s="1">
        <f t="shared" si="11"/>
        <v>4265.4328200763075</v>
      </c>
      <c r="G28" s="1">
        <f t="shared" si="11"/>
        <v>7444.245878810164</v>
      </c>
      <c r="H28" s="1">
        <f t="shared" si="10"/>
        <v>80025.643197209269</v>
      </c>
    </row>
    <row r="29" spans="1:8" x14ac:dyDescent="0.3">
      <c r="A29" t="s">
        <v>28</v>
      </c>
      <c r="B29" s="1">
        <f t="shared" ref="B29:G29" si="12">B7*$H$32/$H$10</f>
        <v>89411.996771015474</v>
      </c>
      <c r="C29" s="1">
        <f t="shared" si="12"/>
        <v>21051.006591974066</v>
      </c>
      <c r="D29" s="1">
        <f t="shared" si="12"/>
        <v>2458.4021672360986</v>
      </c>
      <c r="E29" s="1">
        <f t="shared" si="12"/>
        <v>0</v>
      </c>
      <c r="F29" s="1">
        <f t="shared" si="12"/>
        <v>5385.0714139457396</v>
      </c>
      <c r="G29" s="1">
        <f t="shared" si="12"/>
        <v>19409.070101768757</v>
      </c>
      <c r="H29" s="1">
        <f t="shared" si="10"/>
        <v>137715.54704594015</v>
      </c>
    </row>
    <row r="30" spans="1:8" x14ac:dyDescent="0.3">
      <c r="A30" t="s">
        <v>29</v>
      </c>
      <c r="B30" s="1">
        <f t="shared" ref="B30:G30" si="13">B8*$H$32/$H$10</f>
        <v>70321.108146324885</v>
      </c>
      <c r="C30" s="1">
        <f t="shared" si="13"/>
        <v>24686.079881989834</v>
      </c>
      <c r="D30" s="1">
        <f t="shared" si="13"/>
        <v>4265.4328200763075</v>
      </c>
      <c r="E30" s="1">
        <f t="shared" si="13"/>
        <v>5385.0714139457396</v>
      </c>
      <c r="F30" s="1">
        <f t="shared" si="13"/>
        <v>0</v>
      </c>
      <c r="G30" s="1">
        <f t="shared" si="13"/>
        <v>5589.1878332034375</v>
      </c>
      <c r="H30" s="1">
        <f t="shared" si="10"/>
        <v>110246.88009554021</v>
      </c>
    </row>
    <row r="31" spans="1:8" x14ac:dyDescent="0.3">
      <c r="A31" t="s">
        <v>30</v>
      </c>
      <c r="B31" s="1">
        <f t="shared" ref="B31:G31" si="14">B9*$H$32/$H$10</f>
        <v>89694.157703518751</v>
      </c>
      <c r="C31" s="1">
        <f t="shared" si="14"/>
        <v>33418.060229352239</v>
      </c>
      <c r="D31" s="1">
        <f t="shared" si="14"/>
        <v>7444.245878810164</v>
      </c>
      <c r="E31" s="1">
        <f t="shared" si="14"/>
        <v>19409.070101768757</v>
      </c>
      <c r="F31" s="1">
        <f t="shared" si="14"/>
        <v>5589.1878332034375</v>
      </c>
      <c r="G31" s="1">
        <f t="shared" si="14"/>
        <v>0</v>
      </c>
      <c r="H31" s="1">
        <f t="shared" si="10"/>
        <v>155554.72174665335</v>
      </c>
    </row>
    <row r="32" spans="1:8" x14ac:dyDescent="0.3">
      <c r="A32" t="s">
        <v>24</v>
      </c>
      <c r="B32" s="1">
        <f>SUM(B26:B31)</f>
        <v>1270048.3811659724</v>
      </c>
      <c r="C32" s="1">
        <f t="shared" ref="C32" si="15">SUM(C26:C31)</f>
        <v>1046417.8318848286</v>
      </c>
      <c r="D32" s="1">
        <f t="shared" ref="D32" si="16">SUM(D26:D31)</f>
        <v>80025.643197209269</v>
      </c>
      <c r="E32" s="1">
        <f t="shared" ref="E32" si="17">SUM(E26:E31)</f>
        <v>137715.54704594015</v>
      </c>
      <c r="F32" s="1">
        <f t="shared" ref="F32" si="18">SUM(F26:F31)</f>
        <v>110246.88009554021</v>
      </c>
      <c r="G32" s="1">
        <f t="shared" ref="G32" si="19">SUM(G26:G31)</f>
        <v>155554.72174665335</v>
      </c>
      <c r="H32" s="1">
        <v>2800000</v>
      </c>
    </row>
    <row r="34" spans="1:8" x14ac:dyDescent="0.3">
      <c r="A34" s="2" t="s">
        <v>50</v>
      </c>
    </row>
    <row r="36" spans="1:8" x14ac:dyDescent="0.3">
      <c r="B36" t="s">
        <v>38</v>
      </c>
      <c r="C36" t="s">
        <v>26</v>
      </c>
      <c r="D36" t="s">
        <v>27</v>
      </c>
      <c r="E36" t="s">
        <v>28</v>
      </c>
      <c r="F36" t="s">
        <v>29</v>
      </c>
      <c r="G36" t="s">
        <v>30</v>
      </c>
      <c r="H36" t="s">
        <v>24</v>
      </c>
    </row>
    <row r="37" spans="1:8" x14ac:dyDescent="0.3">
      <c r="A37" t="s">
        <v>38</v>
      </c>
      <c r="B37" s="1">
        <f>B4*$H$43/$H$10</f>
        <v>0</v>
      </c>
      <c r="C37" s="1">
        <f t="shared" ref="C37:G37" si="20">C4*$H$43/$H$10</f>
        <v>1475841.5782144316</v>
      </c>
      <c r="D37" s="1">
        <f t="shared" si="20"/>
        <v>91540.853836992028</v>
      </c>
      <c r="E37" s="1">
        <f t="shared" si="20"/>
        <v>137311.28075548803</v>
      </c>
      <c r="F37" s="1">
        <f t="shared" si="20"/>
        <v>107993.13036757037</v>
      </c>
      <c r="G37" s="1">
        <f t="shared" si="20"/>
        <v>137744.59933040381</v>
      </c>
      <c r="H37" s="1">
        <f>SUM(B37:G37)</f>
        <v>1950431.4425048858</v>
      </c>
    </row>
    <row r="38" spans="1:8" x14ac:dyDescent="0.3">
      <c r="A38" t="s">
        <v>26</v>
      </c>
      <c r="B38" s="1">
        <f t="shared" ref="B38:G38" si="21">B5*$H$43/$H$10</f>
        <v>1475841.5782144316</v>
      </c>
      <c r="C38" s="1">
        <f t="shared" si="21"/>
        <v>0</v>
      </c>
      <c r="D38" s="1">
        <f t="shared" si="21"/>
        <v>9597.5454571768259</v>
      </c>
      <c r="E38" s="1">
        <f t="shared" si="21"/>
        <v>32328.331551960171</v>
      </c>
      <c r="F38" s="1">
        <f t="shared" si="21"/>
        <v>37910.765533055819</v>
      </c>
      <c r="G38" s="1">
        <f t="shared" si="21"/>
        <v>51320.592495076657</v>
      </c>
      <c r="H38" s="1">
        <f t="shared" ref="H38:H42" si="22">SUM(B38:G38)</f>
        <v>1606998.8132517012</v>
      </c>
    </row>
    <row r="39" spans="1:8" x14ac:dyDescent="0.3">
      <c r="A39" t="s">
        <v>27</v>
      </c>
      <c r="B39" s="1">
        <f t="shared" ref="B39:G39" si="23">B6*$H$43/$H$10</f>
        <v>91540.853836992028</v>
      </c>
      <c r="C39" s="1">
        <f t="shared" si="23"/>
        <v>9597.5454571768259</v>
      </c>
      <c r="D39" s="1">
        <f t="shared" si="23"/>
        <v>0</v>
      </c>
      <c r="E39" s="1">
        <f t="shared" si="23"/>
        <v>3775.4033282554369</v>
      </c>
      <c r="F39" s="1">
        <f t="shared" si="23"/>
        <v>6550.4861165457587</v>
      </c>
      <c r="G39" s="1">
        <f t="shared" si="23"/>
        <v>11432.234742458466</v>
      </c>
      <c r="H39" s="1">
        <f t="shared" si="22"/>
        <v>122896.52348142851</v>
      </c>
    </row>
    <row r="40" spans="1:8" x14ac:dyDescent="0.3">
      <c r="A40" t="s">
        <v>28</v>
      </c>
      <c r="B40" s="1">
        <f t="shared" ref="B40:G40" si="24">B7*$H$43/$H$10</f>
        <v>137311.28075548803</v>
      </c>
      <c r="C40" s="1">
        <f t="shared" si="24"/>
        <v>32328.331551960171</v>
      </c>
      <c r="D40" s="1">
        <f t="shared" si="24"/>
        <v>3775.4033282554369</v>
      </c>
      <c r="E40" s="1">
        <f t="shared" si="24"/>
        <v>0</v>
      </c>
      <c r="F40" s="1">
        <f t="shared" si="24"/>
        <v>8269.9310999881</v>
      </c>
      <c r="G40" s="1">
        <f t="shared" si="24"/>
        <v>29806.786227716308</v>
      </c>
      <c r="H40" s="1">
        <f t="shared" si="22"/>
        <v>211491.73296340805</v>
      </c>
    </row>
    <row r="41" spans="1:8" x14ac:dyDescent="0.3">
      <c r="A41" t="s">
        <v>29</v>
      </c>
      <c r="B41" s="1">
        <f t="shared" ref="B41:G41" si="25">B8*$H$43/$H$10</f>
        <v>107993.13036757037</v>
      </c>
      <c r="C41" s="1">
        <f t="shared" si="25"/>
        <v>37910.765533055819</v>
      </c>
      <c r="D41" s="1">
        <f t="shared" si="25"/>
        <v>6550.4861165457587</v>
      </c>
      <c r="E41" s="1">
        <f t="shared" si="25"/>
        <v>8269.9310999881</v>
      </c>
      <c r="F41" s="1">
        <f t="shared" si="25"/>
        <v>0</v>
      </c>
      <c r="G41" s="1">
        <f t="shared" si="25"/>
        <v>8583.3956009909944</v>
      </c>
      <c r="H41" s="1">
        <f t="shared" si="22"/>
        <v>169307.70871815109</v>
      </c>
    </row>
    <row r="42" spans="1:8" x14ac:dyDescent="0.3">
      <c r="A42" t="s">
        <v>30</v>
      </c>
      <c r="B42" s="1">
        <f t="shared" ref="B42:G42" si="26">B9*$H$43/$H$10</f>
        <v>137744.59933040381</v>
      </c>
      <c r="C42" s="1">
        <f t="shared" si="26"/>
        <v>51320.592495076657</v>
      </c>
      <c r="D42" s="1">
        <f t="shared" si="26"/>
        <v>11432.234742458466</v>
      </c>
      <c r="E42" s="1">
        <f t="shared" si="26"/>
        <v>29806.786227716308</v>
      </c>
      <c r="F42" s="1">
        <f t="shared" si="26"/>
        <v>8583.3956009909944</v>
      </c>
      <c r="G42" s="1">
        <f t="shared" si="26"/>
        <v>0</v>
      </c>
      <c r="H42" s="1">
        <f t="shared" si="22"/>
        <v>238887.60839664625</v>
      </c>
    </row>
    <row r="43" spans="1:8" x14ac:dyDescent="0.3">
      <c r="A43" t="s">
        <v>24</v>
      </c>
      <c r="B43" s="1">
        <f>SUM(B37:B42)</f>
        <v>1950431.4425048858</v>
      </c>
      <c r="C43" s="1">
        <f t="shared" ref="C43" si="27">SUM(C37:C42)</f>
        <v>1606998.8132517012</v>
      </c>
      <c r="D43" s="1">
        <f t="shared" ref="D43" si="28">SUM(D37:D42)</f>
        <v>122896.52348142851</v>
      </c>
      <c r="E43" s="1">
        <f t="shared" ref="E43" si="29">SUM(E37:E42)</f>
        <v>211491.73296340805</v>
      </c>
      <c r="F43" s="1">
        <f t="shared" ref="F43" si="30">SUM(F37:F42)</f>
        <v>169307.70871815109</v>
      </c>
      <c r="G43" s="1">
        <f t="shared" ref="G43" si="31">SUM(G37:G42)</f>
        <v>238887.60839664625</v>
      </c>
      <c r="H43" s="1">
        <v>4300000</v>
      </c>
    </row>
    <row r="45" spans="1:8" x14ac:dyDescent="0.3">
      <c r="A45" s="2" t="s">
        <v>80</v>
      </c>
    </row>
    <row r="47" spans="1:8" x14ac:dyDescent="0.3">
      <c r="B47" t="s">
        <v>38</v>
      </c>
      <c r="C47" t="s">
        <v>26</v>
      </c>
      <c r="D47" t="s">
        <v>27</v>
      </c>
      <c r="E47" t="s">
        <v>28</v>
      </c>
      <c r="F47" t="s">
        <v>29</v>
      </c>
      <c r="G47" t="s">
        <v>30</v>
      </c>
      <c r="H47" t="s">
        <v>24</v>
      </c>
    </row>
    <row r="48" spans="1:8" x14ac:dyDescent="0.3">
      <c r="A48" t="s">
        <v>38</v>
      </c>
      <c r="B48" s="1">
        <f>B37-B26</f>
        <v>0</v>
      </c>
      <c r="C48" s="1">
        <f t="shared" ref="C48:G48" si="32">C37-C26</f>
        <v>514828.45751666219</v>
      </c>
      <c r="D48" s="1">
        <f t="shared" si="32"/>
        <v>31932.855989648386</v>
      </c>
      <c r="E48" s="1">
        <f t="shared" si="32"/>
        <v>47899.283984472553</v>
      </c>
      <c r="F48" s="1">
        <f t="shared" si="32"/>
        <v>37672.022221245483</v>
      </c>
      <c r="G48" s="1">
        <f t="shared" si="32"/>
        <v>48050.441626885062</v>
      </c>
      <c r="H48" s="1">
        <f>SUM(B48:G48)</f>
        <v>680383.06133891363</v>
      </c>
    </row>
    <row r="49" spans="1:17" x14ac:dyDescent="0.3">
      <c r="A49" t="s">
        <v>26</v>
      </c>
      <c r="B49" s="1">
        <f t="shared" ref="B49:G49" si="33">B38-B27</f>
        <v>514828.45751666219</v>
      </c>
      <c r="C49" s="1">
        <f t="shared" si="33"/>
        <v>0</v>
      </c>
      <c r="D49" s="1">
        <f t="shared" si="33"/>
        <v>3347.9809734337769</v>
      </c>
      <c r="E49" s="1">
        <f t="shared" si="33"/>
        <v>11277.324959986105</v>
      </c>
      <c r="F49" s="1">
        <f t="shared" si="33"/>
        <v>13224.685651065985</v>
      </c>
      <c r="G49" s="1">
        <f t="shared" si="33"/>
        <v>17902.532265724418</v>
      </c>
      <c r="H49" s="1">
        <f t="shared" ref="H49:H54" si="34">SUM(B49:G49)</f>
        <v>560580.98136687244</v>
      </c>
    </row>
    <row r="50" spans="1:17" x14ac:dyDescent="0.3">
      <c r="A50" t="s">
        <v>27</v>
      </c>
      <c r="B50" s="1">
        <f t="shared" ref="B50:G50" si="35">B39-B28</f>
        <v>31932.855989648386</v>
      </c>
      <c r="C50" s="1">
        <f t="shared" si="35"/>
        <v>3347.9809734337769</v>
      </c>
      <c r="D50" s="1">
        <f t="shared" si="35"/>
        <v>0</v>
      </c>
      <c r="E50" s="1">
        <f t="shared" si="35"/>
        <v>1317.0011610193383</v>
      </c>
      <c r="F50" s="1">
        <f t="shared" si="35"/>
        <v>2285.0532964694512</v>
      </c>
      <c r="G50" s="1">
        <f t="shared" si="35"/>
        <v>3987.988863648302</v>
      </c>
      <c r="H50" s="1">
        <f t="shared" si="34"/>
        <v>42870.880284219253</v>
      </c>
    </row>
    <row r="51" spans="1:17" x14ac:dyDescent="0.3">
      <c r="A51" t="s">
        <v>28</v>
      </c>
      <c r="B51" s="1">
        <f t="shared" ref="B51:G51" si="36">B40-B29</f>
        <v>47899.283984472553</v>
      </c>
      <c r="C51" s="1">
        <f t="shared" si="36"/>
        <v>11277.324959986105</v>
      </c>
      <c r="D51" s="1">
        <f t="shared" si="36"/>
        <v>1317.0011610193383</v>
      </c>
      <c r="E51" s="1">
        <f t="shared" si="36"/>
        <v>0</v>
      </c>
      <c r="F51" s="1">
        <f t="shared" si="36"/>
        <v>2884.8596860423604</v>
      </c>
      <c r="G51" s="1">
        <f t="shared" si="36"/>
        <v>10397.716125947551</v>
      </c>
      <c r="H51" s="1">
        <f t="shared" si="34"/>
        <v>73776.185917467912</v>
      </c>
    </row>
    <row r="52" spans="1:17" x14ac:dyDescent="0.3">
      <c r="A52" t="s">
        <v>29</v>
      </c>
      <c r="B52" s="1">
        <f t="shared" ref="B52:G52" si="37">B41-B30</f>
        <v>37672.022221245483</v>
      </c>
      <c r="C52" s="1">
        <f t="shared" si="37"/>
        <v>13224.685651065985</v>
      </c>
      <c r="D52" s="1">
        <f t="shared" si="37"/>
        <v>2285.0532964694512</v>
      </c>
      <c r="E52" s="1">
        <f t="shared" si="37"/>
        <v>2884.8596860423604</v>
      </c>
      <c r="F52" s="1">
        <f t="shared" si="37"/>
        <v>0</v>
      </c>
      <c r="G52" s="1">
        <f t="shared" si="37"/>
        <v>2994.2077677875568</v>
      </c>
      <c r="H52" s="1">
        <f t="shared" si="34"/>
        <v>59060.828622610839</v>
      </c>
    </row>
    <row r="53" spans="1:17" x14ac:dyDescent="0.3">
      <c r="A53" t="s">
        <v>30</v>
      </c>
      <c r="B53" s="1">
        <f t="shared" ref="B53:G53" si="38">B42-B31</f>
        <v>48050.441626885062</v>
      </c>
      <c r="C53" s="1">
        <f t="shared" si="38"/>
        <v>17902.532265724418</v>
      </c>
      <c r="D53" s="1">
        <f t="shared" si="38"/>
        <v>3987.988863648302</v>
      </c>
      <c r="E53" s="1">
        <f t="shared" si="38"/>
        <v>10397.716125947551</v>
      </c>
      <c r="F53" s="1">
        <f t="shared" si="38"/>
        <v>2994.2077677875568</v>
      </c>
      <c r="G53" s="1">
        <f t="shared" si="38"/>
        <v>0</v>
      </c>
      <c r="H53" s="1">
        <f t="shared" si="34"/>
        <v>83332.886649992899</v>
      </c>
    </row>
    <row r="54" spans="1:17" x14ac:dyDescent="0.3">
      <c r="A54" t="s">
        <v>24</v>
      </c>
      <c r="B54" s="1">
        <f>SUM(B48:B53)</f>
        <v>680383.06133891363</v>
      </c>
      <c r="C54" s="1">
        <f t="shared" ref="C54" si="39">SUM(C48:C53)</f>
        <v>560580.98136687244</v>
      </c>
      <c r="D54" s="1">
        <f t="shared" ref="D54" si="40">SUM(D48:D53)</f>
        <v>42870.880284219253</v>
      </c>
      <c r="E54" s="1">
        <f t="shared" ref="E54" si="41">SUM(E48:E53)</f>
        <v>73776.185917467912</v>
      </c>
      <c r="F54" s="1">
        <f t="shared" ref="F54" si="42">SUM(F48:F53)</f>
        <v>59060.828622610839</v>
      </c>
      <c r="G54" s="1">
        <f t="shared" ref="G54" si="43">SUM(G48:G53)</f>
        <v>83332.886649992899</v>
      </c>
      <c r="H54" s="1">
        <f t="shared" si="34"/>
        <v>1500004.8241800768</v>
      </c>
    </row>
    <row r="56" spans="1:17" x14ac:dyDescent="0.3">
      <c r="A56" s="2" t="s">
        <v>87</v>
      </c>
      <c r="J56" s="2" t="s">
        <v>88</v>
      </c>
    </row>
    <row r="58" spans="1:17" x14ac:dyDescent="0.3">
      <c r="B58" t="s">
        <v>38</v>
      </c>
      <c r="C58" t="s">
        <v>26</v>
      </c>
      <c r="D58" t="s">
        <v>27</v>
      </c>
      <c r="E58" t="s">
        <v>28</v>
      </c>
      <c r="F58" t="s">
        <v>29</v>
      </c>
      <c r="G58" t="s">
        <v>30</v>
      </c>
      <c r="H58" t="s">
        <v>24</v>
      </c>
      <c r="K58" t="s">
        <v>38</v>
      </c>
      <c r="L58" t="s">
        <v>26</v>
      </c>
      <c r="M58" t="s">
        <v>27</v>
      </c>
      <c r="N58" t="s">
        <v>28</v>
      </c>
      <c r="O58" t="s">
        <v>29</v>
      </c>
      <c r="P58" t="s">
        <v>30</v>
      </c>
      <c r="Q58" t="s">
        <v>24</v>
      </c>
    </row>
    <row r="59" spans="1:17" x14ac:dyDescent="0.3">
      <c r="A59" t="s">
        <v>38</v>
      </c>
      <c r="B59" s="1">
        <f>B48/1.5</f>
        <v>0</v>
      </c>
      <c r="C59" s="1">
        <f t="shared" ref="C59:G59" si="44">C48/1.5</f>
        <v>343218.9716777748</v>
      </c>
      <c r="D59" s="1">
        <f t="shared" si="44"/>
        <v>21288.570659765592</v>
      </c>
      <c r="E59" s="1">
        <f t="shared" si="44"/>
        <v>31932.855989648368</v>
      </c>
      <c r="F59" s="1">
        <f t="shared" si="44"/>
        <v>25114.681480830321</v>
      </c>
      <c r="G59" s="1">
        <f t="shared" si="44"/>
        <v>32033.627751256707</v>
      </c>
      <c r="H59" s="1">
        <f>SUM(B59:G59)</f>
        <v>453588.70755927573</v>
      </c>
      <c r="J59" t="s">
        <v>38</v>
      </c>
      <c r="K59" s="1">
        <f>B59*$Q$65/$H$65</f>
        <v>0</v>
      </c>
      <c r="L59" s="1">
        <f t="shared" ref="L59:P59" si="45">C59*$Q$65/$H$65</f>
        <v>105530.91391653553</v>
      </c>
      <c r="M59" s="1">
        <f t="shared" si="45"/>
        <v>6545.6822119116141</v>
      </c>
      <c r="N59" s="1">
        <f t="shared" si="45"/>
        <v>9818.5233178674134</v>
      </c>
      <c r="O59" s="1">
        <f t="shared" si="45"/>
        <v>7722.1118530795338</v>
      </c>
      <c r="P59" s="1">
        <f t="shared" si="45"/>
        <v>9849.5080156174299</v>
      </c>
      <c r="Q59" s="1">
        <f>SUM(K59:P59)</f>
        <v>139466.73931501151</v>
      </c>
    </row>
    <row r="60" spans="1:17" x14ac:dyDescent="0.3">
      <c r="A60" t="s">
        <v>26</v>
      </c>
      <c r="B60" s="1">
        <f t="shared" ref="B60:G60" si="46">B49/1.5</f>
        <v>343218.9716777748</v>
      </c>
      <c r="C60" s="1">
        <f t="shared" si="46"/>
        <v>0</v>
      </c>
      <c r="D60" s="1">
        <f t="shared" si="46"/>
        <v>2231.9873156225181</v>
      </c>
      <c r="E60" s="1">
        <f t="shared" si="46"/>
        <v>7518.2166399907364</v>
      </c>
      <c r="F60" s="1">
        <f t="shared" si="46"/>
        <v>8816.457100710657</v>
      </c>
      <c r="G60" s="1">
        <f t="shared" si="46"/>
        <v>11935.021510482946</v>
      </c>
      <c r="H60" s="1">
        <f t="shared" ref="H60:H65" si="47">SUM(B60:G60)</f>
        <v>373720.65424458164</v>
      </c>
      <c r="J60" t="s">
        <v>26</v>
      </c>
      <c r="K60" s="1">
        <f t="shared" ref="K60:K64" si="48">B60*$Q$65/$H$65</f>
        <v>105530.91391653553</v>
      </c>
      <c r="L60" s="1">
        <f t="shared" ref="L60:L64" si="49">C60*$Q$65/$H$65</f>
        <v>0</v>
      </c>
      <c r="M60" s="1">
        <f t="shared" ref="M60:M64" si="50">D60*$Q$65/$H$65</f>
        <v>686.27809271829904</v>
      </c>
      <c r="N60" s="1">
        <f t="shared" ref="N60:N64" si="51">E60*$Q$65/$H$65</f>
        <v>2311.6562268172088</v>
      </c>
      <c r="O60" s="1">
        <f t="shared" ref="O60:O64" si="52">F60*$Q$65/$H$65</f>
        <v>2710.8314286816958</v>
      </c>
      <c r="P60" s="1">
        <f t="shared" ref="P60:P64" si="53">G60*$Q$65/$H$65</f>
        <v>3669.7089367112499</v>
      </c>
      <c r="Q60" s="1">
        <f t="shared" ref="Q60:Q65" si="54">SUM(K60:P60)</f>
        <v>114909.38860146399</v>
      </c>
    </row>
    <row r="61" spans="1:17" x14ac:dyDescent="0.3">
      <c r="A61" t="s">
        <v>27</v>
      </c>
      <c r="B61" s="1">
        <f t="shared" ref="B61:G61" si="55">B50/1.5</f>
        <v>21288.570659765592</v>
      </c>
      <c r="C61" s="1">
        <f t="shared" si="55"/>
        <v>2231.9873156225181</v>
      </c>
      <c r="D61" s="1">
        <f t="shared" si="55"/>
        <v>0</v>
      </c>
      <c r="E61" s="1">
        <f t="shared" si="55"/>
        <v>878.00077401289218</v>
      </c>
      <c r="F61" s="1">
        <f t="shared" si="55"/>
        <v>1523.3688643129674</v>
      </c>
      <c r="G61" s="1">
        <f t="shared" si="55"/>
        <v>2658.6592424322012</v>
      </c>
      <c r="H61" s="1">
        <f t="shared" si="47"/>
        <v>28580.586856146172</v>
      </c>
      <c r="J61" t="s">
        <v>27</v>
      </c>
      <c r="K61" s="1">
        <f t="shared" si="48"/>
        <v>6545.6822119116141</v>
      </c>
      <c r="L61" s="1">
        <f t="shared" si="49"/>
        <v>686.27809271829904</v>
      </c>
      <c r="M61" s="1">
        <f t="shared" si="50"/>
        <v>0</v>
      </c>
      <c r="N61" s="1">
        <f t="shared" si="51"/>
        <v>269.96241975806271</v>
      </c>
      <c r="O61" s="1">
        <f t="shared" si="52"/>
        <v>468.39633513578423</v>
      </c>
      <c r="P61" s="1">
        <f t="shared" si="53"/>
        <v>817.46862148961611</v>
      </c>
      <c r="Q61" s="1">
        <f t="shared" si="54"/>
        <v>8787.7876810133766</v>
      </c>
    </row>
    <row r="62" spans="1:17" x14ac:dyDescent="0.3">
      <c r="A62" t="s">
        <v>28</v>
      </c>
      <c r="B62" s="1">
        <f t="shared" ref="B62:G62" si="56">B51/1.5</f>
        <v>31932.855989648368</v>
      </c>
      <c r="C62" s="1">
        <f t="shared" si="56"/>
        <v>7518.2166399907364</v>
      </c>
      <c r="D62" s="1">
        <f t="shared" si="56"/>
        <v>878.00077401289218</v>
      </c>
      <c r="E62" s="1">
        <f t="shared" si="56"/>
        <v>0</v>
      </c>
      <c r="F62" s="1">
        <f t="shared" si="56"/>
        <v>1923.239790694907</v>
      </c>
      <c r="G62" s="1">
        <f t="shared" si="56"/>
        <v>6931.8107506317001</v>
      </c>
      <c r="H62" s="1">
        <f t="shared" si="47"/>
        <v>49184.123944978608</v>
      </c>
      <c r="J62" t="s">
        <v>28</v>
      </c>
      <c r="K62" s="1">
        <f t="shared" si="48"/>
        <v>9818.5233178674134</v>
      </c>
      <c r="L62" s="1">
        <f t="shared" si="49"/>
        <v>2311.6562268172088</v>
      </c>
      <c r="M62" s="1">
        <f t="shared" si="50"/>
        <v>269.96241975806271</v>
      </c>
      <c r="N62" s="1">
        <f t="shared" si="51"/>
        <v>0</v>
      </c>
      <c r="O62" s="1">
        <f t="shared" si="52"/>
        <v>591.34625280337559</v>
      </c>
      <c r="P62" s="1">
        <f t="shared" si="53"/>
        <v>2131.3516558676852</v>
      </c>
      <c r="Q62" s="1">
        <f t="shared" si="54"/>
        <v>15122.839873113748</v>
      </c>
    </row>
    <row r="63" spans="1:17" x14ac:dyDescent="0.3">
      <c r="A63" t="s">
        <v>29</v>
      </c>
      <c r="B63" s="1">
        <f t="shared" ref="B63:G63" si="57">B52/1.5</f>
        <v>25114.681480830321</v>
      </c>
      <c r="C63" s="1">
        <f t="shared" si="57"/>
        <v>8816.457100710657</v>
      </c>
      <c r="D63" s="1">
        <f t="shared" si="57"/>
        <v>1523.3688643129674</v>
      </c>
      <c r="E63" s="1">
        <f t="shared" si="57"/>
        <v>1923.239790694907</v>
      </c>
      <c r="F63" s="1">
        <f t="shared" si="57"/>
        <v>0</v>
      </c>
      <c r="G63" s="1">
        <f t="shared" si="57"/>
        <v>1996.1385118583712</v>
      </c>
      <c r="H63" s="1">
        <f t="shared" si="47"/>
        <v>39373.885748407214</v>
      </c>
      <c r="J63" t="s">
        <v>29</v>
      </c>
      <c r="K63" s="1">
        <f t="shared" si="48"/>
        <v>7722.1118530795338</v>
      </c>
      <c r="L63" s="1">
        <f t="shared" si="49"/>
        <v>2710.8314286816958</v>
      </c>
      <c r="M63" s="1">
        <f t="shared" si="50"/>
        <v>468.39633513578423</v>
      </c>
      <c r="N63" s="1">
        <f t="shared" si="51"/>
        <v>591.34625280337559</v>
      </c>
      <c r="O63" s="1">
        <f t="shared" si="52"/>
        <v>0</v>
      </c>
      <c r="P63" s="1">
        <f t="shared" si="53"/>
        <v>613.76071500551041</v>
      </c>
      <c r="Q63" s="1">
        <f t="shared" si="54"/>
        <v>12106.446584705898</v>
      </c>
    </row>
    <row r="64" spans="1:17" x14ac:dyDescent="0.3">
      <c r="A64" t="s">
        <v>30</v>
      </c>
      <c r="B64" s="1">
        <f t="shared" ref="B64:G64" si="58">B53/1.5</f>
        <v>32033.627751256707</v>
      </c>
      <c r="C64" s="1">
        <f t="shared" si="58"/>
        <v>11935.021510482946</v>
      </c>
      <c r="D64" s="1">
        <f t="shared" si="58"/>
        <v>2658.6592424322012</v>
      </c>
      <c r="E64" s="1">
        <f t="shared" si="58"/>
        <v>6931.8107506317001</v>
      </c>
      <c r="F64" s="1">
        <f t="shared" si="58"/>
        <v>1996.1385118583712</v>
      </c>
      <c r="G64" s="1">
        <f t="shared" si="58"/>
        <v>0</v>
      </c>
      <c r="H64" s="1">
        <f t="shared" si="47"/>
        <v>55555.257766661925</v>
      </c>
      <c r="J64" t="s">
        <v>30</v>
      </c>
      <c r="K64" s="1">
        <f t="shared" si="48"/>
        <v>9849.5080156174299</v>
      </c>
      <c r="L64" s="1">
        <f t="shared" si="49"/>
        <v>3669.7089367112499</v>
      </c>
      <c r="M64" s="1">
        <f t="shared" si="50"/>
        <v>817.46862148961611</v>
      </c>
      <c r="N64" s="1">
        <f t="shared" si="51"/>
        <v>2131.3516558676852</v>
      </c>
      <c r="O64" s="1">
        <f t="shared" si="52"/>
        <v>613.76071500551041</v>
      </c>
      <c r="P64" s="1">
        <f t="shared" si="53"/>
        <v>0</v>
      </c>
      <c r="Q64" s="1">
        <f t="shared" si="54"/>
        <v>17081.797944691491</v>
      </c>
    </row>
    <row r="65" spans="1:19" x14ac:dyDescent="0.3">
      <c r="A65" t="s">
        <v>24</v>
      </c>
      <c r="B65" s="1">
        <f>SUM(B59:B64)</f>
        <v>453588.70755927573</v>
      </c>
      <c r="C65" s="1">
        <f t="shared" ref="C65" si="59">SUM(C59:C64)</f>
        <v>373720.65424458164</v>
      </c>
      <c r="D65" s="1">
        <f t="shared" ref="D65" si="60">SUM(D59:D64)</f>
        <v>28580.586856146172</v>
      </c>
      <c r="E65" s="1">
        <f t="shared" ref="E65" si="61">SUM(E59:E64)</f>
        <v>49184.123944978608</v>
      </c>
      <c r="F65" s="1">
        <f t="shared" ref="F65" si="62">SUM(F59:F64)</f>
        <v>39373.885748407214</v>
      </c>
      <c r="G65" s="1">
        <f t="shared" ref="G65" si="63">SUM(G59:G64)</f>
        <v>55555.257766661925</v>
      </c>
      <c r="H65" s="1">
        <f t="shared" si="47"/>
        <v>1000003.2161200513</v>
      </c>
      <c r="J65" t="s">
        <v>24</v>
      </c>
      <c r="K65" s="1">
        <f>SUM(K59:K64)</f>
        <v>139466.73931501151</v>
      </c>
      <c r="L65" s="1">
        <f t="shared" ref="L65" si="64">SUM(L59:L64)</f>
        <v>114909.38860146399</v>
      </c>
      <c r="M65" s="1">
        <f t="shared" ref="M65" si="65">SUM(M59:M64)</f>
        <v>8787.7876810133766</v>
      </c>
      <c r="N65" s="1">
        <f t="shared" ref="N65" si="66">SUM(N59:N64)</f>
        <v>15122.839873113748</v>
      </c>
      <c r="O65" s="1">
        <f t="shared" ref="O65" si="67">SUM(O59:O64)</f>
        <v>12106.446584705898</v>
      </c>
      <c r="P65" s="1">
        <f t="shared" ref="P65" si="68">SUM(P59:P64)</f>
        <v>17081.797944691491</v>
      </c>
      <c r="Q65" s="1">
        <f>S65-R65</f>
        <v>307475</v>
      </c>
      <c r="R65" s="1">
        <v>177603</v>
      </c>
      <c r="S65" s="1">
        <v>485078</v>
      </c>
    </row>
    <row r="66" spans="1:19" x14ac:dyDescent="0.3">
      <c r="R66" s="1"/>
    </row>
    <row r="67" spans="1:19" x14ac:dyDescent="0.3">
      <c r="A67" t="s">
        <v>77</v>
      </c>
      <c r="J67" s="2" t="s">
        <v>89</v>
      </c>
    </row>
    <row r="69" spans="1:19" x14ac:dyDescent="0.3">
      <c r="B69" t="s">
        <v>38</v>
      </c>
      <c r="C69" t="s">
        <v>26</v>
      </c>
      <c r="D69" t="s">
        <v>27</v>
      </c>
      <c r="E69" t="s">
        <v>28</v>
      </c>
      <c r="F69" t="s">
        <v>29</v>
      </c>
      <c r="G69" t="s">
        <v>30</v>
      </c>
      <c r="K69" t="s">
        <v>38</v>
      </c>
      <c r="L69" t="s">
        <v>26</v>
      </c>
      <c r="M69" t="s">
        <v>27</v>
      </c>
      <c r="N69" t="s">
        <v>28</v>
      </c>
      <c r="O69" t="s">
        <v>29</v>
      </c>
      <c r="P69" t="s">
        <v>30</v>
      </c>
    </row>
    <row r="70" spans="1:19" x14ac:dyDescent="0.3">
      <c r="A70" t="s">
        <v>38</v>
      </c>
      <c r="B70" s="1"/>
      <c r="C70" s="18">
        <v>155.32</v>
      </c>
      <c r="D70" s="1">
        <v>292</v>
      </c>
      <c r="E70" s="18">
        <v>319.54999999999995</v>
      </c>
      <c r="F70" s="18">
        <v>406.99999999999994</v>
      </c>
      <c r="G70" s="18">
        <v>482.45999999999992</v>
      </c>
      <c r="J70" t="s">
        <v>38</v>
      </c>
      <c r="K70" s="1"/>
      <c r="L70" s="18">
        <v>155.32</v>
      </c>
      <c r="M70" s="1">
        <v>292</v>
      </c>
      <c r="N70" s="18">
        <v>319.54999999999995</v>
      </c>
      <c r="O70" s="18">
        <v>406.99999999999994</v>
      </c>
      <c r="P70" s="18">
        <v>482.45999999999992</v>
      </c>
    </row>
    <row r="71" spans="1:19" x14ac:dyDescent="0.3">
      <c r="A71" t="s">
        <v>26</v>
      </c>
      <c r="B71" s="18">
        <v>155.32</v>
      </c>
      <c r="C71" s="1"/>
      <c r="D71" s="1">
        <v>121</v>
      </c>
      <c r="E71" s="18">
        <v>164.23</v>
      </c>
      <c r="F71" s="18">
        <v>251.68</v>
      </c>
      <c r="G71" s="18">
        <v>327.13999999999993</v>
      </c>
      <c r="J71" t="s">
        <v>26</v>
      </c>
      <c r="K71" s="18">
        <v>155.32</v>
      </c>
      <c r="L71" s="1"/>
      <c r="M71" s="1">
        <v>121</v>
      </c>
      <c r="N71" s="18">
        <v>164.23</v>
      </c>
      <c r="O71" s="18">
        <v>251.68</v>
      </c>
      <c r="P71" s="18">
        <v>327.13999999999993</v>
      </c>
    </row>
    <row r="72" spans="1:19" x14ac:dyDescent="0.3">
      <c r="A72" t="s">
        <v>27</v>
      </c>
      <c r="B72" s="1">
        <v>292</v>
      </c>
      <c r="C72" s="1">
        <v>121</v>
      </c>
      <c r="D72" s="1"/>
      <c r="E72" s="1">
        <f>E71-D71</f>
        <v>43.22999999999999</v>
      </c>
      <c r="F72" s="1">
        <f>F71-D71</f>
        <v>130.68</v>
      </c>
      <c r="G72" s="1">
        <f>G71-D71</f>
        <v>206.13999999999993</v>
      </c>
      <c r="J72" t="s">
        <v>27</v>
      </c>
      <c r="K72" s="1">
        <v>292</v>
      </c>
      <c r="L72" s="1">
        <v>121</v>
      </c>
      <c r="M72" s="1"/>
      <c r="N72" s="1">
        <f>N71-M71</f>
        <v>43.22999999999999</v>
      </c>
      <c r="O72" s="1">
        <f>O71-M71</f>
        <v>130.68</v>
      </c>
      <c r="P72" s="1">
        <f>P71-M71</f>
        <v>206.13999999999993</v>
      </c>
    </row>
    <row r="73" spans="1:19" x14ac:dyDescent="0.3">
      <c r="A73" t="s">
        <v>28</v>
      </c>
      <c r="B73" s="18">
        <v>319.54999999999995</v>
      </c>
      <c r="C73" s="18">
        <v>164.23</v>
      </c>
      <c r="D73" s="1">
        <f>C73-C72</f>
        <v>43.22999999999999</v>
      </c>
      <c r="E73" s="1"/>
      <c r="F73" s="1">
        <f>F72-E72</f>
        <v>87.450000000000017</v>
      </c>
      <c r="G73" s="1">
        <f>G72-E72</f>
        <v>162.90999999999994</v>
      </c>
      <c r="J73" t="s">
        <v>28</v>
      </c>
      <c r="K73" s="18">
        <v>319.54999999999995</v>
      </c>
      <c r="L73" s="18">
        <v>164.23</v>
      </c>
      <c r="M73" s="1">
        <f>L73-L72</f>
        <v>43.22999999999999</v>
      </c>
      <c r="N73" s="1"/>
      <c r="O73" s="1">
        <f>O72-N72</f>
        <v>87.450000000000017</v>
      </c>
      <c r="P73" s="1">
        <f>P72-N72</f>
        <v>162.90999999999994</v>
      </c>
    </row>
    <row r="74" spans="1:19" x14ac:dyDescent="0.3">
      <c r="A74" t="s">
        <v>29</v>
      </c>
      <c r="B74" s="18">
        <v>406.99999999999994</v>
      </c>
      <c r="C74" s="18">
        <v>251.68</v>
      </c>
      <c r="D74" s="1">
        <f>C74-C72</f>
        <v>130.68</v>
      </c>
      <c r="E74" s="1">
        <f>D74-D73</f>
        <v>87.450000000000017</v>
      </c>
      <c r="F74" s="1"/>
      <c r="G74" s="1">
        <v>75.459999999999923</v>
      </c>
      <c r="J74" t="s">
        <v>29</v>
      </c>
      <c r="K74" s="18">
        <v>406.99999999999994</v>
      </c>
      <c r="L74" s="18">
        <v>251.68</v>
      </c>
      <c r="M74" s="1">
        <f>L74-L72</f>
        <v>130.68</v>
      </c>
      <c r="N74" s="1">
        <f>M74-M73</f>
        <v>87.450000000000017</v>
      </c>
      <c r="O74" s="1"/>
      <c r="P74" s="1">
        <v>75.459999999999923</v>
      </c>
    </row>
    <row r="75" spans="1:19" x14ac:dyDescent="0.3">
      <c r="A75" t="s">
        <v>30</v>
      </c>
      <c r="B75" s="18">
        <v>482.45999999999992</v>
      </c>
      <c r="C75" s="18">
        <v>327.13999999999993</v>
      </c>
      <c r="D75" s="1">
        <f>C75-C72</f>
        <v>206.13999999999993</v>
      </c>
      <c r="E75" s="1">
        <f>D75-D73</f>
        <v>162.90999999999994</v>
      </c>
      <c r="F75" s="1">
        <v>75.459999999999923</v>
      </c>
      <c r="G75" s="1"/>
      <c r="J75" t="s">
        <v>30</v>
      </c>
      <c r="K75" s="18">
        <v>482.45999999999992</v>
      </c>
      <c r="L75" s="18">
        <v>327.13999999999993</v>
      </c>
      <c r="M75" s="1">
        <f>L75-L72</f>
        <v>206.13999999999993</v>
      </c>
      <c r="N75" s="1">
        <f>M75-M73</f>
        <v>162.90999999999994</v>
      </c>
      <c r="O75" s="1">
        <v>75.459999999999923</v>
      </c>
      <c r="P75" s="1"/>
    </row>
    <row r="77" spans="1:19" x14ac:dyDescent="0.3">
      <c r="A77" t="s">
        <v>81</v>
      </c>
      <c r="J77" s="2" t="s">
        <v>90</v>
      </c>
    </row>
    <row r="79" spans="1:19" x14ac:dyDescent="0.3">
      <c r="B79" t="s">
        <v>38</v>
      </c>
      <c r="C79" t="s">
        <v>26</v>
      </c>
      <c r="D79" t="s">
        <v>27</v>
      </c>
      <c r="E79" t="s">
        <v>28</v>
      </c>
      <c r="F79" t="s">
        <v>29</v>
      </c>
      <c r="G79" t="s">
        <v>30</v>
      </c>
      <c r="K79" t="s">
        <v>38</v>
      </c>
      <c r="L79" t="s">
        <v>26</v>
      </c>
      <c r="M79" t="s">
        <v>27</v>
      </c>
      <c r="N79" t="s">
        <v>28</v>
      </c>
      <c r="O79" t="s">
        <v>29</v>
      </c>
      <c r="P79" t="s">
        <v>30</v>
      </c>
    </row>
    <row r="80" spans="1:19" x14ac:dyDescent="0.3">
      <c r="A80" t="s">
        <v>38</v>
      </c>
      <c r="B80" s="1"/>
      <c r="C80" s="1">
        <f>C59*C70</f>
        <v>53308770.680991977</v>
      </c>
      <c r="D80" s="1">
        <f t="shared" ref="D80:G80" si="69">D59*D70</f>
        <v>6216262.6326515526</v>
      </c>
      <c r="E80" s="1">
        <f t="shared" si="69"/>
        <v>10204144.131492134</v>
      </c>
      <c r="F80" s="1">
        <f t="shared" si="69"/>
        <v>10221675.362697938</v>
      </c>
      <c r="G80" s="1">
        <f t="shared" si="69"/>
        <v>15454944.044871308</v>
      </c>
      <c r="J80" t="s">
        <v>38</v>
      </c>
      <c r="K80" s="1"/>
      <c r="L80" s="1">
        <f>L59*L70</f>
        <v>16391061.549516298</v>
      </c>
      <c r="M80" s="1">
        <f t="shared" ref="M80:P80" si="70">M59*M70</f>
        <v>1911339.2058781914</v>
      </c>
      <c r="N80" s="1">
        <f t="shared" si="70"/>
        <v>3137509.1262245313</v>
      </c>
      <c r="O80" s="1">
        <f t="shared" si="70"/>
        <v>3142899.5242033699</v>
      </c>
      <c r="P80" s="1">
        <f t="shared" si="70"/>
        <v>4751993.6372147845</v>
      </c>
    </row>
    <row r="81" spans="1:17" x14ac:dyDescent="0.3">
      <c r="A81" t="s">
        <v>26</v>
      </c>
      <c r="B81" s="1">
        <f t="shared" ref="B81:E84" si="71">B60*B71</f>
        <v>53308770.680991977</v>
      </c>
      <c r="C81" s="1"/>
      <c r="D81" s="1">
        <f t="shared" ref="D81:G81" si="72">D60*D71</f>
        <v>270070.4651903247</v>
      </c>
      <c r="E81" s="1">
        <f t="shared" si="72"/>
        <v>1234716.7187856785</v>
      </c>
      <c r="F81" s="1">
        <f t="shared" si="72"/>
        <v>2218925.923106858</v>
      </c>
      <c r="G81" s="1">
        <f t="shared" si="72"/>
        <v>3904422.9369393899</v>
      </c>
      <c r="J81" t="s">
        <v>26</v>
      </c>
      <c r="K81" s="1">
        <f t="shared" ref="K81:N85" si="73">K60*K71</f>
        <v>16391061.549516298</v>
      </c>
      <c r="L81" s="1"/>
      <c r="M81" s="1">
        <f t="shared" ref="M81:P81" si="74">M60*M71</f>
        <v>83039.649218914186</v>
      </c>
      <c r="N81" s="1">
        <f t="shared" si="74"/>
        <v>379643.30213019019</v>
      </c>
      <c r="O81" s="1">
        <f t="shared" si="74"/>
        <v>682262.05397060921</v>
      </c>
      <c r="P81" s="1">
        <f t="shared" si="74"/>
        <v>1200508.5815557181</v>
      </c>
    </row>
    <row r="82" spans="1:17" x14ac:dyDescent="0.3">
      <c r="A82" t="s">
        <v>27</v>
      </c>
      <c r="B82" s="1">
        <f t="shared" si="71"/>
        <v>6216262.6326515526</v>
      </c>
      <c r="C82" s="1">
        <f t="shared" si="71"/>
        <v>270070.4651903247</v>
      </c>
      <c r="D82" s="1"/>
      <c r="E82" s="1">
        <f t="shared" ref="E82:G82" si="75">E61*E72</f>
        <v>37955.973460577319</v>
      </c>
      <c r="F82" s="1">
        <f t="shared" si="75"/>
        <v>199073.8431884186</v>
      </c>
      <c r="G82" s="1">
        <f t="shared" si="75"/>
        <v>548056.01623497379</v>
      </c>
      <c r="J82" t="s">
        <v>27</v>
      </c>
      <c r="K82" s="1">
        <f t="shared" si="73"/>
        <v>1911339.2058781914</v>
      </c>
      <c r="L82" s="1">
        <f t="shared" si="73"/>
        <v>83039.649218914186</v>
      </c>
      <c r="M82" s="1"/>
      <c r="N82" s="1">
        <f t="shared" ref="N82:P82" si="76">N61*N72</f>
        <v>11670.475406141048</v>
      </c>
      <c r="O82" s="1">
        <f t="shared" si="76"/>
        <v>61210.033075544285</v>
      </c>
      <c r="P82" s="1">
        <f t="shared" si="76"/>
        <v>168512.98163386941</v>
      </c>
    </row>
    <row r="83" spans="1:17" x14ac:dyDescent="0.3">
      <c r="A83" t="s">
        <v>28</v>
      </c>
      <c r="B83" s="1">
        <f t="shared" si="71"/>
        <v>10204144.131492134</v>
      </c>
      <c r="C83" s="1">
        <f t="shared" si="71"/>
        <v>1234716.7187856785</v>
      </c>
      <c r="D83" s="1">
        <f t="shared" si="71"/>
        <v>37955.973460577319</v>
      </c>
      <c r="E83" s="1"/>
      <c r="F83" s="1">
        <f t="shared" ref="F83:G83" si="77">F62*F73</f>
        <v>168187.31969626964</v>
      </c>
      <c r="G83" s="1">
        <f t="shared" si="77"/>
        <v>1129261.2893854098</v>
      </c>
      <c r="J83" t="s">
        <v>28</v>
      </c>
      <c r="K83" s="1">
        <f t="shared" si="73"/>
        <v>3137509.1262245313</v>
      </c>
      <c r="L83" s="1">
        <f t="shared" si="73"/>
        <v>379643.30213019019</v>
      </c>
      <c r="M83" s="1">
        <f t="shared" si="73"/>
        <v>11670.475406141048</v>
      </c>
      <c r="N83" s="1"/>
      <c r="O83" s="1">
        <f t="shared" ref="O83:P83" si="78">O62*O73</f>
        <v>51713.229807655203</v>
      </c>
      <c r="P83" s="1">
        <f t="shared" si="78"/>
        <v>347218.49825740448</v>
      </c>
    </row>
    <row r="84" spans="1:17" x14ac:dyDescent="0.3">
      <c r="A84" t="s">
        <v>29</v>
      </c>
      <c r="B84" s="1">
        <f t="shared" si="71"/>
        <v>10221675.362697938</v>
      </c>
      <c r="C84" s="1">
        <f t="shared" si="71"/>
        <v>2218925.923106858</v>
      </c>
      <c r="D84" s="1">
        <f t="shared" si="71"/>
        <v>199073.8431884186</v>
      </c>
      <c r="E84" s="1">
        <f t="shared" si="71"/>
        <v>168187.31969626964</v>
      </c>
      <c r="F84" s="1"/>
      <c r="G84" s="1">
        <f>G63*G74</f>
        <v>150628.61210483254</v>
      </c>
      <c r="J84" t="s">
        <v>29</v>
      </c>
      <c r="K84" s="1">
        <f t="shared" si="73"/>
        <v>3142899.5242033699</v>
      </c>
      <c r="L84" s="1">
        <f t="shared" si="73"/>
        <v>682262.05397060921</v>
      </c>
      <c r="M84" s="1">
        <f t="shared" si="73"/>
        <v>61210.033075544285</v>
      </c>
      <c r="N84" s="1">
        <f t="shared" si="73"/>
        <v>51713.229807655203</v>
      </c>
      <c r="O84" s="1"/>
      <c r="P84" s="1">
        <f>P63*P74</f>
        <v>46314.383554315769</v>
      </c>
    </row>
    <row r="85" spans="1:17" x14ac:dyDescent="0.3">
      <c r="A85" t="s">
        <v>30</v>
      </c>
      <c r="B85" s="1">
        <f>B64*B75</f>
        <v>15454944.044871308</v>
      </c>
      <c r="C85" s="1">
        <f>C64*C75</f>
        <v>3904422.9369393899</v>
      </c>
      <c r="D85" s="1">
        <f>D64*D75</f>
        <v>548056.01623497379</v>
      </c>
      <c r="E85" s="1">
        <f t="shared" ref="E85" si="79">E64*E75</f>
        <v>1129261.2893854098</v>
      </c>
      <c r="F85" s="1">
        <f>F64*F75</f>
        <v>150628.61210483254</v>
      </c>
      <c r="H85" s="1">
        <f>SUM(B80:G85)</f>
        <v>210534191.90159521</v>
      </c>
      <c r="J85" t="s">
        <v>30</v>
      </c>
      <c r="K85" s="1">
        <f t="shared" si="73"/>
        <v>4751993.6372147845</v>
      </c>
      <c r="L85" s="1">
        <f t="shared" si="73"/>
        <v>1200508.5815557181</v>
      </c>
      <c r="M85" s="1">
        <f t="shared" si="73"/>
        <v>168512.98163386941</v>
      </c>
      <c r="N85" s="1">
        <f t="shared" si="73"/>
        <v>347218.49825740448</v>
      </c>
      <c r="O85" s="1">
        <f>O64*O75</f>
        <v>46314.383554315769</v>
      </c>
      <c r="Q85" s="1">
        <f>SUM(K80:P85)</f>
        <v>64733792.463295087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380D-FE32-49AF-8BF5-85A23AE58CB3}">
  <dimension ref="A3:I25"/>
  <sheetViews>
    <sheetView workbookViewId="0">
      <selection activeCell="B10" sqref="B10"/>
    </sheetView>
  </sheetViews>
  <sheetFormatPr defaultRowHeight="14.4" x14ac:dyDescent="0.3"/>
  <cols>
    <col min="1" max="2" width="12.44140625" customWidth="1"/>
    <col min="5" max="5" width="14.6640625" bestFit="1" customWidth="1"/>
    <col min="6" max="6" width="14" bestFit="1" customWidth="1"/>
    <col min="7" max="7" width="13.88671875" bestFit="1" customWidth="1"/>
    <col min="8" max="9" width="13.77734375" bestFit="1" customWidth="1"/>
  </cols>
  <sheetData>
    <row r="3" spans="1:6" x14ac:dyDescent="0.3">
      <c r="D3" t="s">
        <v>33</v>
      </c>
    </row>
    <row r="4" spans="1:6" x14ac:dyDescent="0.3">
      <c r="A4" t="s">
        <v>31</v>
      </c>
      <c r="C4" t="s">
        <v>32</v>
      </c>
      <c r="D4" t="s">
        <v>34</v>
      </c>
    </row>
    <row r="5" spans="1:6" x14ac:dyDescent="0.3">
      <c r="A5" t="s">
        <v>35</v>
      </c>
      <c r="B5" t="s">
        <v>30</v>
      </c>
      <c r="C5">
        <v>24.6</v>
      </c>
      <c r="D5">
        <v>39</v>
      </c>
    </row>
    <row r="6" spans="1:6" x14ac:dyDescent="0.3">
      <c r="A6" t="s">
        <v>30</v>
      </c>
      <c r="B6" t="s">
        <v>30</v>
      </c>
      <c r="C6">
        <v>7.9</v>
      </c>
      <c r="D6">
        <v>34</v>
      </c>
    </row>
    <row r="7" spans="1:6" x14ac:dyDescent="0.3">
      <c r="A7" t="s">
        <v>30</v>
      </c>
      <c r="B7" t="s">
        <v>36</v>
      </c>
      <c r="C7">
        <v>60.7</v>
      </c>
      <c r="D7">
        <v>69</v>
      </c>
    </row>
    <row r="8" spans="1:6" x14ac:dyDescent="0.3">
      <c r="A8" t="s">
        <v>36</v>
      </c>
      <c r="B8" t="s">
        <v>37</v>
      </c>
      <c r="C8">
        <v>79.5</v>
      </c>
      <c r="D8">
        <v>63</v>
      </c>
      <c r="E8">
        <f>SUM(C8:C16)</f>
        <v>369.99999999999994</v>
      </c>
      <c r="F8">
        <f>SUM(C8:C12)</f>
        <v>228.79999999999998</v>
      </c>
    </row>
    <row r="9" spans="1:6" x14ac:dyDescent="0.3">
      <c r="A9" t="s">
        <v>37</v>
      </c>
      <c r="B9" t="s">
        <v>27</v>
      </c>
      <c r="C9">
        <v>53.9</v>
      </c>
      <c r="D9">
        <v>49</v>
      </c>
      <c r="E9">
        <f>SUM(C9:C16)</f>
        <v>290.49999999999994</v>
      </c>
      <c r="F9">
        <f>SUM(C9:C12)</f>
        <v>149.29999999999998</v>
      </c>
    </row>
    <row r="10" spans="1:6" x14ac:dyDescent="0.3">
      <c r="C10">
        <v>68</v>
      </c>
      <c r="D10">
        <v>63</v>
      </c>
    </row>
    <row r="11" spans="1:6" x14ac:dyDescent="0.3">
      <c r="C11">
        <v>9.6999999999999993</v>
      </c>
      <c r="D11">
        <v>53</v>
      </c>
    </row>
    <row r="12" spans="1:6" x14ac:dyDescent="0.3">
      <c r="B12" t="s">
        <v>26</v>
      </c>
      <c r="C12">
        <v>17.7</v>
      </c>
      <c r="D12">
        <v>48</v>
      </c>
    </row>
    <row r="13" spans="1:6" x14ac:dyDescent="0.3">
      <c r="C13">
        <v>66.3</v>
      </c>
      <c r="D13">
        <v>66</v>
      </c>
      <c r="E13">
        <f>SUM(C13:C16)</f>
        <v>141.19999999999999</v>
      </c>
    </row>
    <row r="14" spans="1:6" x14ac:dyDescent="0.3">
      <c r="C14">
        <v>42.4</v>
      </c>
      <c r="D14">
        <v>65</v>
      </c>
    </row>
    <row r="15" spans="1:6" x14ac:dyDescent="0.3">
      <c r="C15">
        <v>21.7</v>
      </c>
      <c r="D15">
        <v>52</v>
      </c>
    </row>
    <row r="16" spans="1:6" x14ac:dyDescent="0.3">
      <c r="C16">
        <v>10.8</v>
      </c>
      <c r="D16">
        <v>41</v>
      </c>
    </row>
    <row r="18" spans="1:9" x14ac:dyDescent="0.3">
      <c r="E18" s="3" t="s">
        <v>10</v>
      </c>
      <c r="F18" s="3" t="s">
        <v>0</v>
      </c>
      <c r="G18" s="3" t="s">
        <v>1</v>
      </c>
      <c r="H18" s="3" t="s">
        <v>2</v>
      </c>
      <c r="I18" s="3" t="s">
        <v>3</v>
      </c>
    </row>
    <row r="19" spans="1:9" x14ac:dyDescent="0.3">
      <c r="A19" t="s">
        <v>30</v>
      </c>
      <c r="B19" t="s">
        <v>38</v>
      </c>
      <c r="C19">
        <f>C20+C7+C6</f>
        <v>438.59999999999991</v>
      </c>
      <c r="I19">
        <v>108</v>
      </c>
    </row>
    <row r="20" spans="1:9" x14ac:dyDescent="0.3">
      <c r="A20" t="s">
        <v>29</v>
      </c>
      <c r="B20" t="s">
        <v>38</v>
      </c>
      <c r="C20" s="18">
        <f>E8</f>
        <v>369.99999999999994</v>
      </c>
    </row>
    <row r="21" spans="1:9" x14ac:dyDescent="0.3">
      <c r="A21" t="s">
        <v>28</v>
      </c>
      <c r="B21" t="s">
        <v>38</v>
      </c>
      <c r="C21">
        <f>E9</f>
        <v>290.49999999999994</v>
      </c>
    </row>
    <row r="22" spans="1:9" x14ac:dyDescent="0.3">
      <c r="A22" t="s">
        <v>26</v>
      </c>
      <c r="B22" t="s">
        <v>38</v>
      </c>
      <c r="C22">
        <f>E13</f>
        <v>141.19999999999999</v>
      </c>
    </row>
    <row r="23" spans="1:9" x14ac:dyDescent="0.3">
      <c r="A23" t="s">
        <v>30</v>
      </c>
      <c r="B23" t="s">
        <v>26</v>
      </c>
      <c r="C23">
        <f>C19-C22</f>
        <v>297.39999999999992</v>
      </c>
      <c r="I23" s="17">
        <f>$C23/I$19</f>
        <v>2.7537037037037031</v>
      </c>
    </row>
    <row r="24" spans="1:9" x14ac:dyDescent="0.3">
      <c r="A24" t="s">
        <v>29</v>
      </c>
      <c r="B24" t="s">
        <v>26</v>
      </c>
      <c r="C24">
        <f>F8</f>
        <v>228.79999999999998</v>
      </c>
      <c r="I24" s="17">
        <f>$C24/I$19</f>
        <v>2.1185185185185182</v>
      </c>
    </row>
    <row r="25" spans="1:9" x14ac:dyDescent="0.3">
      <c r="A25" t="s">
        <v>28</v>
      </c>
      <c r="B25" t="s">
        <v>26</v>
      </c>
      <c r="C25">
        <f>F9</f>
        <v>149.29999999999998</v>
      </c>
      <c r="I25" s="17">
        <f>$C25/I$19</f>
        <v>1.3824074074074073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AB1F-20F4-400C-A3E5-EE2D78E871D5}">
  <dimension ref="A1:L11"/>
  <sheetViews>
    <sheetView workbookViewId="0">
      <selection activeCell="O16" sqref="O16"/>
    </sheetView>
  </sheetViews>
  <sheetFormatPr defaultRowHeight="14.4" x14ac:dyDescent="0.3"/>
  <sheetData>
    <row r="1" spans="1:12" x14ac:dyDescent="0.3">
      <c r="A1" s="2" t="s">
        <v>48</v>
      </c>
    </row>
    <row r="3" spans="1:12" x14ac:dyDescent="0.3">
      <c r="A3" s="25" t="s">
        <v>85</v>
      </c>
      <c r="B3" s="14" t="s">
        <v>86</v>
      </c>
      <c r="C3" s="14"/>
      <c r="D3" s="14"/>
      <c r="E3" s="14"/>
      <c r="F3" s="14"/>
      <c r="G3" s="14"/>
      <c r="H3" s="14"/>
    </row>
    <row r="4" spans="1:12" x14ac:dyDescent="0.3">
      <c r="A4" s="25"/>
      <c r="B4" s="15" t="s">
        <v>38</v>
      </c>
      <c r="C4" s="15" t="s">
        <v>26</v>
      </c>
      <c r="D4" s="15" t="s">
        <v>27</v>
      </c>
      <c r="E4" s="15" t="s">
        <v>28</v>
      </c>
      <c r="F4" s="15" t="s">
        <v>29</v>
      </c>
      <c r="G4" s="15" t="s">
        <v>30</v>
      </c>
      <c r="H4" s="15" t="s">
        <v>24</v>
      </c>
    </row>
    <row r="5" spans="1:12" x14ac:dyDescent="0.3">
      <c r="A5" s="4" t="s">
        <v>38</v>
      </c>
      <c r="B5" s="13" t="s">
        <v>47</v>
      </c>
      <c r="C5" s="26">
        <v>320155</v>
      </c>
      <c r="D5" s="26">
        <v>19858</v>
      </c>
      <c r="E5" s="26">
        <v>29787</v>
      </c>
      <c r="F5" s="26">
        <v>23427</v>
      </c>
      <c r="G5" s="26">
        <v>29881</v>
      </c>
      <c r="H5" s="26">
        <v>423108</v>
      </c>
      <c r="L5" s="1">
        <f>SUM(C5:G5)</f>
        <v>423108</v>
      </c>
    </row>
    <row r="6" spans="1:12" x14ac:dyDescent="0.3">
      <c r="A6" s="4" t="s">
        <v>26</v>
      </c>
      <c r="B6" s="26">
        <v>320155</v>
      </c>
      <c r="C6" s="13" t="s">
        <v>47</v>
      </c>
      <c r="D6" s="26">
        <v>2082</v>
      </c>
      <c r="E6" s="26">
        <v>7013</v>
      </c>
      <c r="F6" s="26">
        <v>8224</v>
      </c>
      <c r="G6" s="26">
        <v>11133</v>
      </c>
      <c r="H6" s="26">
        <v>348607</v>
      </c>
      <c r="L6" s="1">
        <f>SUM(D6:G6)</f>
        <v>28452</v>
      </c>
    </row>
    <row r="7" spans="1:12" x14ac:dyDescent="0.3">
      <c r="A7" s="4" t="s">
        <v>27</v>
      </c>
      <c r="B7" s="26">
        <v>19858</v>
      </c>
      <c r="C7" s="26">
        <v>2082</v>
      </c>
      <c r="D7" s="13" t="s">
        <v>47</v>
      </c>
      <c r="E7" s="13">
        <v>819</v>
      </c>
      <c r="F7" s="26">
        <v>1421</v>
      </c>
      <c r="G7" s="26">
        <v>2480</v>
      </c>
      <c r="H7" s="26">
        <v>26659</v>
      </c>
      <c r="L7" s="1">
        <f>SUM(E7:G7)</f>
        <v>4720</v>
      </c>
    </row>
    <row r="8" spans="1:12" x14ac:dyDescent="0.3">
      <c r="A8" s="4" t="s">
        <v>28</v>
      </c>
      <c r="B8" s="26">
        <v>29787</v>
      </c>
      <c r="C8" s="26">
        <v>7013</v>
      </c>
      <c r="D8" s="13">
        <v>819</v>
      </c>
      <c r="E8" s="13" t="s">
        <v>47</v>
      </c>
      <c r="F8" s="26">
        <v>1794</v>
      </c>
      <c r="G8" s="26">
        <v>6466</v>
      </c>
      <c r="H8" s="26">
        <v>45878</v>
      </c>
      <c r="L8" s="1">
        <f>SUM(F8:G8)</f>
        <v>8260</v>
      </c>
    </row>
    <row r="9" spans="1:12" x14ac:dyDescent="0.3">
      <c r="A9" s="4" t="s">
        <v>29</v>
      </c>
      <c r="B9" s="26">
        <v>23427</v>
      </c>
      <c r="C9" s="26">
        <v>8224</v>
      </c>
      <c r="D9" s="26">
        <v>1421</v>
      </c>
      <c r="E9" s="26">
        <v>1794</v>
      </c>
      <c r="F9" s="13" t="s">
        <v>47</v>
      </c>
      <c r="G9" s="26">
        <v>1862</v>
      </c>
      <c r="H9" s="26">
        <v>36728</v>
      </c>
      <c r="L9" s="1">
        <f>G9</f>
        <v>1862</v>
      </c>
    </row>
    <row r="10" spans="1:12" x14ac:dyDescent="0.3">
      <c r="A10" s="4" t="s">
        <v>30</v>
      </c>
      <c r="B10" s="26">
        <v>29881</v>
      </c>
      <c r="C10" s="26">
        <v>11133</v>
      </c>
      <c r="D10" s="26">
        <v>2480</v>
      </c>
      <c r="E10" s="26">
        <v>6466</v>
      </c>
      <c r="F10" s="26">
        <v>1862</v>
      </c>
      <c r="G10" s="13" t="s">
        <v>47</v>
      </c>
      <c r="H10" s="26">
        <v>51821</v>
      </c>
    </row>
    <row r="11" spans="1:12" x14ac:dyDescent="0.3">
      <c r="A11" s="4" t="s">
        <v>24</v>
      </c>
      <c r="B11" s="26">
        <v>423108</v>
      </c>
      <c r="C11" s="26">
        <v>348607</v>
      </c>
      <c r="D11" s="26">
        <v>26659</v>
      </c>
      <c r="E11" s="26">
        <v>45878</v>
      </c>
      <c r="F11" s="26">
        <v>36728</v>
      </c>
      <c r="G11" s="26">
        <v>51821</v>
      </c>
      <c r="H11" s="26">
        <v>932801</v>
      </c>
    </row>
  </sheetData>
  <mergeCells count="2">
    <mergeCell ref="B3:H3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0938-14BD-417D-A295-C917503AE693}">
  <dimension ref="A1:K10"/>
  <sheetViews>
    <sheetView workbookViewId="0">
      <selection activeCell="C4" sqref="C4"/>
    </sheetView>
  </sheetViews>
  <sheetFormatPr defaultRowHeight="14.4" x14ac:dyDescent="0.3"/>
  <cols>
    <col min="1" max="1" width="16.33203125" bestFit="1" customWidth="1"/>
    <col min="2" max="2" width="11.88671875" bestFit="1" customWidth="1"/>
    <col min="3" max="3" width="72.5546875" bestFit="1" customWidth="1"/>
    <col min="4" max="4" width="3.77734375" customWidth="1"/>
    <col min="5" max="5" width="40.44140625" bestFit="1" customWidth="1"/>
    <col min="6" max="6" width="11.21875" bestFit="1" customWidth="1"/>
    <col min="7" max="7" width="9.21875" bestFit="1" customWidth="1"/>
    <col min="9" max="9" width="40.44140625" bestFit="1" customWidth="1"/>
    <col min="10" max="10" width="11.21875" bestFit="1" customWidth="1"/>
    <col min="11" max="11" width="9.5546875" bestFit="1" customWidth="1"/>
  </cols>
  <sheetData>
    <row r="1" spans="1:11" x14ac:dyDescent="0.3">
      <c r="A1" t="s">
        <v>59</v>
      </c>
      <c r="E1" t="s">
        <v>60</v>
      </c>
      <c r="I1" t="s">
        <v>61</v>
      </c>
    </row>
    <row r="2" spans="1:11" x14ac:dyDescent="0.3">
      <c r="F2" s="21" t="s">
        <v>64</v>
      </c>
      <c r="G2" s="21" t="s">
        <v>63</v>
      </c>
      <c r="J2" s="21" t="s">
        <v>64</v>
      </c>
      <c r="K2" s="21" t="s">
        <v>63</v>
      </c>
    </row>
    <row r="3" spans="1:11" x14ac:dyDescent="0.3">
      <c r="A3" s="15" t="s">
        <v>39</v>
      </c>
      <c r="B3" s="15" t="s">
        <v>41</v>
      </c>
      <c r="C3" s="15" t="s">
        <v>44</v>
      </c>
      <c r="E3" s="20" t="s">
        <v>39</v>
      </c>
      <c r="F3" s="20" t="s">
        <v>62</v>
      </c>
      <c r="G3" s="20" t="s">
        <v>25</v>
      </c>
      <c r="I3" s="20" t="s">
        <v>39</v>
      </c>
      <c r="J3" s="20" t="s">
        <v>62</v>
      </c>
      <c r="K3" s="20" t="s">
        <v>25</v>
      </c>
    </row>
    <row r="4" spans="1:11" x14ac:dyDescent="0.3">
      <c r="A4" s="5" t="s">
        <v>40</v>
      </c>
      <c r="B4" s="5" t="s">
        <v>42</v>
      </c>
      <c r="C4" s="5" t="s">
        <v>43</v>
      </c>
      <c r="E4" t="s">
        <v>52</v>
      </c>
      <c r="F4" s="1">
        <v>140400</v>
      </c>
      <c r="G4" t="s">
        <v>53</v>
      </c>
      <c r="I4" t="s">
        <v>52</v>
      </c>
      <c r="J4" s="1">
        <v>140400</v>
      </c>
      <c r="K4" t="s">
        <v>53</v>
      </c>
    </row>
    <row r="5" spans="1:11" x14ac:dyDescent="0.3">
      <c r="E5" t="s">
        <v>65</v>
      </c>
      <c r="I5" t="s">
        <v>65</v>
      </c>
    </row>
    <row r="6" spans="1:11" x14ac:dyDescent="0.3">
      <c r="B6">
        <v>200</v>
      </c>
      <c r="C6" t="s">
        <v>45</v>
      </c>
      <c r="E6" t="s">
        <v>54</v>
      </c>
      <c r="F6" s="1">
        <v>3700</v>
      </c>
      <c r="G6" s="19">
        <v>0.03</v>
      </c>
      <c r="I6" t="s">
        <v>54</v>
      </c>
      <c r="J6" s="1">
        <v>3700</v>
      </c>
      <c r="K6" s="19">
        <v>0.03</v>
      </c>
    </row>
    <row r="7" spans="1:11" x14ac:dyDescent="0.3">
      <c r="B7">
        <v>6</v>
      </c>
      <c r="C7" t="s">
        <v>46</v>
      </c>
      <c r="E7" t="s">
        <v>55</v>
      </c>
      <c r="F7" s="1">
        <v>2300</v>
      </c>
      <c r="G7" s="19">
        <v>0.02</v>
      </c>
      <c r="I7" t="s">
        <v>55</v>
      </c>
      <c r="J7" s="1">
        <v>7200</v>
      </c>
      <c r="K7" s="19">
        <v>0.05</v>
      </c>
    </row>
    <row r="8" spans="1:11" x14ac:dyDescent="0.3">
      <c r="B8">
        <f>B6*B7/1000</f>
        <v>1.2</v>
      </c>
      <c r="C8" t="s">
        <v>51</v>
      </c>
      <c r="E8" t="s">
        <v>56</v>
      </c>
      <c r="F8" s="1">
        <v>2900</v>
      </c>
      <c r="G8" s="19">
        <v>0.02</v>
      </c>
      <c r="I8" t="s">
        <v>56</v>
      </c>
      <c r="J8" s="1">
        <v>10800</v>
      </c>
      <c r="K8" s="19">
        <v>0.08</v>
      </c>
    </row>
    <row r="9" spans="1:11" x14ac:dyDescent="0.3">
      <c r="E9" t="s">
        <v>57</v>
      </c>
      <c r="I9" t="s">
        <v>58</v>
      </c>
      <c r="J9" s="1">
        <v>21700</v>
      </c>
      <c r="K9" s="19">
        <v>0.16</v>
      </c>
    </row>
    <row r="10" spans="1:11" x14ac:dyDescent="0.3">
      <c r="E10" t="s">
        <v>58</v>
      </c>
      <c r="F10" s="1">
        <v>8800</v>
      </c>
      <c r="G10" s="19">
        <v>0.06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Alternatives</vt:lpstr>
      <vt:lpstr>Diversion</vt:lpstr>
      <vt:lpstr>Population</vt:lpstr>
      <vt:lpstr>Markets</vt:lpstr>
      <vt:lpstr>Distance</vt:lpstr>
      <vt:lpstr>Boardings</vt:lpstr>
      <vt:lpstr>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Caiazza</dc:creator>
  <cp:lastModifiedBy>Roger Caiazza</cp:lastModifiedBy>
  <dcterms:created xsi:type="dcterms:W3CDTF">2022-03-03T00:47:44Z</dcterms:created>
  <dcterms:modified xsi:type="dcterms:W3CDTF">2022-03-08T00:17:25Z</dcterms:modified>
</cp:coreProperties>
</file>