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\Documents\2RGGI\NY RGGI Funding Status Report\"/>
    </mc:Choice>
  </mc:AlternateContent>
  <xr:revisionPtr revIDLastSave="0" documentId="13_ncr:1_{22B1F9E7-C422-4860-BBA3-376B31A42E60}" xr6:coauthVersionLast="47" xr6:coauthVersionMax="47" xr10:uidLastSave="{00000000-0000-0000-0000-000000000000}"/>
  <bookViews>
    <workbookView xWindow="-108" yWindow="-108" windowWidth="23256" windowHeight="12576" xr2:uid="{6A53AAB4-4BEB-46A7-8DB2-AE7055E03DDA}"/>
  </bookViews>
  <sheets>
    <sheet name="Documentation" sheetId="12" r:id="rId1"/>
    <sheet name="CAMD Emissions Data" sheetId="3" r:id="rId2"/>
    <sheet name="Baseline" sheetId="9" r:id="rId3"/>
    <sheet name="Annual Benefits" sheetId="2" r:id="rId4"/>
    <sheet name="Benefits " sheetId="7" r:id="rId5"/>
    <sheet name="Table 6" sheetId="10" r:id="rId6"/>
    <sheet name="Table 7" sheetId="13" r:id="rId7"/>
    <sheet name="Plots" sheetId="4" r:id="rId8"/>
    <sheet name="NYSERDA TBtu" sheetId="5" r:id="rId9"/>
    <sheet name="NYSERA GWhr" sheetId="6" r:id="rId10"/>
    <sheet name="NY RGGI" sheetId="11" r:id="rId11"/>
    <sheet name="Cumulative Benefits" sheetId="1" r:id="rId12"/>
    <sheet name="Heat and Load" sheetId="8" r:id="rId13"/>
  </sheets>
  <definedNames>
    <definedName name="_xlnm.Print_Area" localSheetId="5">'Table 6'!$A$3:$I$34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3" l="1"/>
  <c r="AB39" i="13"/>
  <c r="P39" i="13"/>
  <c r="J39" i="13"/>
  <c r="I39" i="13"/>
  <c r="AB38" i="13"/>
  <c r="P38" i="13"/>
  <c r="J38" i="13"/>
  <c r="I38" i="13"/>
  <c r="AB37" i="13"/>
  <c r="P37" i="13"/>
  <c r="J37" i="13"/>
  <c r="I37" i="13"/>
  <c r="AB36" i="13"/>
  <c r="P36" i="13"/>
  <c r="P40" i="13" s="1"/>
  <c r="P41" i="13" s="1"/>
  <c r="J36" i="13"/>
  <c r="I36" i="13"/>
  <c r="AB35" i="13"/>
  <c r="M35" i="13"/>
  <c r="J35" i="13"/>
  <c r="I35" i="13"/>
  <c r="AB34" i="13"/>
  <c r="O34" i="13"/>
  <c r="J34" i="13"/>
  <c r="I34" i="13"/>
  <c r="AB33" i="13"/>
  <c r="O33" i="13"/>
  <c r="J33" i="13"/>
  <c r="I33" i="13"/>
  <c r="AA32" i="13"/>
  <c r="J32" i="13"/>
  <c r="I32" i="13"/>
  <c r="AA31" i="13"/>
  <c r="J31" i="13"/>
  <c r="I31" i="13"/>
  <c r="AA30" i="13"/>
  <c r="O30" i="13"/>
  <c r="J30" i="13"/>
  <c r="I30" i="13"/>
  <c r="AA29" i="13"/>
  <c r="O29" i="13"/>
  <c r="J29" i="13"/>
  <c r="I29" i="13"/>
  <c r="AB28" i="13"/>
  <c r="N28" i="13"/>
  <c r="J28" i="13"/>
  <c r="I28" i="13"/>
  <c r="AA27" i="13"/>
  <c r="N27" i="13"/>
  <c r="J27" i="13"/>
  <c r="L27" i="13" s="1"/>
  <c r="I27" i="13"/>
  <c r="AA26" i="13"/>
  <c r="AA4" i="13" s="1"/>
  <c r="AA2" i="13" s="1"/>
  <c r="J26" i="13"/>
  <c r="O26" i="13" s="1"/>
  <c r="I26" i="13"/>
  <c r="AB25" i="13"/>
  <c r="J25" i="13"/>
  <c r="I25" i="13"/>
  <c r="AB24" i="13"/>
  <c r="L24" i="13"/>
  <c r="J24" i="13"/>
  <c r="I24" i="13"/>
  <c r="AB23" i="13"/>
  <c r="K23" i="13"/>
  <c r="K40" i="13" s="1"/>
  <c r="K41" i="13" s="1"/>
  <c r="J23" i="13"/>
  <c r="I23" i="13"/>
  <c r="AB22" i="13"/>
  <c r="AB4" i="13" s="1"/>
  <c r="O22" i="13"/>
  <c r="J22" i="13"/>
  <c r="I22" i="13"/>
  <c r="Z21" i="13"/>
  <c r="O21" i="13"/>
  <c r="J21" i="13"/>
  <c r="I21" i="13"/>
  <c r="Y20" i="13"/>
  <c r="N20" i="13"/>
  <c r="J20" i="13"/>
  <c r="I20" i="13"/>
  <c r="Y19" i="13"/>
  <c r="O19" i="13"/>
  <c r="J19" i="13"/>
  <c r="I19" i="13"/>
  <c r="Y18" i="13"/>
  <c r="O18" i="13"/>
  <c r="J18" i="13"/>
  <c r="I18" i="13"/>
  <c r="Z17" i="13"/>
  <c r="N17" i="13"/>
  <c r="J17" i="13"/>
  <c r="I17" i="13"/>
  <c r="AA16" i="13"/>
  <c r="O16" i="13"/>
  <c r="J16" i="13"/>
  <c r="I16" i="13"/>
  <c r="X15" i="13"/>
  <c r="R15" i="13"/>
  <c r="J15" i="13"/>
  <c r="M15" i="13" s="1"/>
  <c r="I15" i="13"/>
  <c r="X14" i="13"/>
  <c r="J14" i="13"/>
  <c r="O14" i="13" s="1"/>
  <c r="I14" i="13"/>
  <c r="X13" i="13"/>
  <c r="J13" i="13"/>
  <c r="M13" i="13" s="1"/>
  <c r="I13" i="13"/>
  <c r="X12" i="13"/>
  <c r="J12" i="13"/>
  <c r="N12" i="13" s="1"/>
  <c r="I12" i="13"/>
  <c r="X11" i="13"/>
  <c r="J11" i="13"/>
  <c r="O11" i="13" s="1"/>
  <c r="I11" i="13"/>
  <c r="X10" i="13"/>
  <c r="J10" i="13"/>
  <c r="N10" i="13" s="1"/>
  <c r="I10" i="13"/>
  <c r="X9" i="13"/>
  <c r="J9" i="13"/>
  <c r="N9" i="13" s="1"/>
  <c r="I9" i="13"/>
  <c r="X8" i="13"/>
  <c r="X4" i="13" s="1"/>
  <c r="J8" i="13"/>
  <c r="O8" i="13" s="1"/>
  <c r="I8" i="13"/>
  <c r="W7" i="13"/>
  <c r="W4" i="13" s="1"/>
  <c r="W2" i="13" s="1"/>
  <c r="AC2" i="13" s="1"/>
  <c r="L7" i="13"/>
  <c r="L40" i="13" s="1"/>
  <c r="L41" i="13" s="1"/>
  <c r="J7" i="13"/>
  <c r="R7" i="13" s="1"/>
  <c r="R40" i="13" s="1"/>
  <c r="R41" i="13" s="1"/>
  <c r="I7" i="13"/>
  <c r="Z4" i="13"/>
  <c r="Y4" i="13"/>
  <c r="Y2" i="13" s="1"/>
  <c r="K32" i="10"/>
  <c r="Q12" i="10"/>
  <c r="N12" i="10"/>
  <c r="O12" i="10"/>
  <c r="P12" i="10"/>
  <c r="M12" i="10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17" i="9"/>
  <c r="F18" i="9"/>
  <c r="F19" i="9"/>
  <c r="F20" i="9"/>
  <c r="F21" i="9"/>
  <c r="F22" i="9"/>
  <c r="F23" i="9"/>
  <c r="F24" i="9"/>
  <c r="F25" i="9"/>
  <c r="F26" i="9"/>
  <c r="F27" i="9"/>
  <c r="F28" i="9"/>
  <c r="F16" i="9"/>
  <c r="E86" i="10"/>
  <c r="D7" i="11"/>
  <c r="D8" i="11"/>
  <c r="D9" i="11"/>
  <c r="D10" i="11"/>
  <c r="D11" i="11"/>
  <c r="D12" i="11"/>
  <c r="D13" i="11"/>
  <c r="D14" i="11"/>
  <c r="D15" i="11"/>
  <c r="D16" i="11"/>
  <c r="D6" i="11"/>
  <c r="O40" i="13" l="1"/>
  <c r="O41" i="13" s="1"/>
  <c r="P45" i="13" s="1"/>
  <c r="N40" i="13"/>
  <c r="N41" i="13" s="1"/>
  <c r="M40" i="13"/>
  <c r="M41" i="13" s="1"/>
  <c r="M45" i="13" s="1"/>
  <c r="F85" i="10"/>
  <c r="D84" i="10"/>
  <c r="E84" i="10"/>
  <c r="C84" i="10"/>
  <c r="B84" i="10"/>
  <c r="B85" i="10"/>
  <c r="E82" i="10" l="1"/>
  <c r="D82" i="10"/>
  <c r="C82" i="10"/>
  <c r="B82" i="10"/>
  <c r="E77" i="10"/>
  <c r="D77" i="10"/>
  <c r="C77" i="10"/>
  <c r="B77" i="10"/>
  <c r="E72" i="10"/>
  <c r="D72" i="10"/>
  <c r="C72" i="10"/>
  <c r="B72" i="10"/>
  <c r="E67" i="10"/>
  <c r="D67" i="10"/>
  <c r="C67" i="10"/>
  <c r="B67" i="10"/>
  <c r="E62" i="10"/>
  <c r="D62" i="10"/>
  <c r="C62" i="10"/>
  <c r="B62" i="10"/>
  <c r="E57" i="10"/>
  <c r="D57" i="10"/>
  <c r="C57" i="10"/>
  <c r="B57" i="10"/>
  <c r="E52" i="10"/>
  <c r="D52" i="10"/>
  <c r="C52" i="10"/>
  <c r="B52" i="10"/>
  <c r="E47" i="10"/>
  <c r="D47" i="10"/>
  <c r="C47" i="10"/>
  <c r="B47" i="10"/>
  <c r="C42" i="10"/>
  <c r="D42" i="10"/>
  <c r="E42" i="10"/>
  <c r="B42" i="10"/>
  <c r="I34" i="10" l="1"/>
  <c r="H34" i="10"/>
  <c r="G34" i="10"/>
  <c r="F34" i="10"/>
  <c r="F37" i="10" s="1"/>
  <c r="E34" i="10"/>
  <c r="D34" i="10"/>
  <c r="C34" i="10"/>
  <c r="B34" i="10"/>
  <c r="B37" i="10" l="1"/>
  <c r="G77" i="9"/>
  <c r="G78" i="9"/>
  <c r="G79" i="9"/>
  <c r="G80" i="9"/>
  <c r="G81" i="9"/>
  <c r="G82" i="9"/>
  <c r="G83" i="9"/>
  <c r="G84" i="9"/>
  <c r="G76" i="9"/>
  <c r="D71" i="9"/>
  <c r="E82" i="9" s="1"/>
  <c r="D43" i="9"/>
  <c r="E54" i="9" s="1"/>
  <c r="D15" i="9"/>
  <c r="E19" i="9" s="1"/>
  <c r="M24" i="8"/>
  <c r="M25" i="8"/>
  <c r="M26" i="8"/>
  <c r="M27" i="8"/>
  <c r="M28" i="8"/>
  <c r="M29" i="8"/>
  <c r="M30" i="8"/>
  <c r="M31" i="8"/>
  <c r="M23" i="8"/>
  <c r="G24" i="8"/>
  <c r="G25" i="8"/>
  <c r="G26" i="8"/>
  <c r="G27" i="8"/>
  <c r="G28" i="8"/>
  <c r="G29" i="8"/>
  <c r="G30" i="8"/>
  <c r="G31" i="8"/>
  <c r="G23" i="8"/>
  <c r="R6" i="7"/>
  <c r="R7" i="7"/>
  <c r="R8" i="7"/>
  <c r="R9" i="7"/>
  <c r="R10" i="7"/>
  <c r="R11" i="7"/>
  <c r="R12" i="7"/>
  <c r="R13" i="7"/>
  <c r="R5" i="7"/>
  <c r="Q6" i="7"/>
  <c r="Q7" i="7"/>
  <c r="S7" i="7" s="1"/>
  <c r="Q8" i="7"/>
  <c r="Q9" i="7"/>
  <c r="Q10" i="7"/>
  <c r="Q11" i="7"/>
  <c r="S11" i="7" s="1"/>
  <c r="Q12" i="7"/>
  <c r="Q13" i="7"/>
  <c r="Q5" i="7"/>
  <c r="I6" i="7"/>
  <c r="I7" i="7"/>
  <c r="I8" i="7"/>
  <c r="I9" i="7"/>
  <c r="I10" i="7"/>
  <c r="I11" i="7"/>
  <c r="I12" i="7"/>
  <c r="I13" i="7"/>
  <c r="I5" i="7"/>
  <c r="J6" i="7"/>
  <c r="J7" i="7"/>
  <c r="J8" i="7"/>
  <c r="J9" i="7"/>
  <c r="J10" i="7"/>
  <c r="J11" i="7"/>
  <c r="J12" i="7"/>
  <c r="J13" i="7"/>
  <c r="J5" i="7"/>
  <c r="F5" i="2"/>
  <c r="F13" i="2"/>
  <c r="B37" i="3"/>
  <c r="B36" i="3"/>
  <c r="B35" i="3"/>
  <c r="AD31" i="7"/>
  <c r="AJ45" i="7" s="1"/>
  <c r="AD33" i="7"/>
  <c r="AJ47" i="7" s="1"/>
  <c r="AD35" i="7"/>
  <c r="AJ49" i="7" s="1"/>
  <c r="AD37" i="7"/>
  <c r="AJ51" i="7" s="1"/>
  <c r="Z31" i="7"/>
  <c r="Z32" i="7"/>
  <c r="Z33" i="7"/>
  <c r="Z34" i="7"/>
  <c r="Z35" i="7"/>
  <c r="Z36" i="7"/>
  <c r="Z37" i="7"/>
  <c r="Z38" i="7"/>
  <c r="Z30" i="7"/>
  <c r="W11" i="3"/>
  <c r="X11" i="3"/>
  <c r="Y11" i="3"/>
  <c r="Z11" i="3"/>
  <c r="W12" i="3"/>
  <c r="X12" i="3"/>
  <c r="Y12" i="3"/>
  <c r="Z12" i="3"/>
  <c r="W13" i="3"/>
  <c r="X13" i="3"/>
  <c r="Y13" i="3"/>
  <c r="Z13" i="3"/>
  <c r="W14" i="3"/>
  <c r="X14" i="3"/>
  <c r="Y14" i="3"/>
  <c r="Z14" i="3"/>
  <c r="W15" i="3"/>
  <c r="X15" i="3"/>
  <c r="Y15" i="3"/>
  <c r="Z15" i="3"/>
  <c r="W16" i="3"/>
  <c r="X16" i="3"/>
  <c r="Y16" i="3"/>
  <c r="Z16" i="3"/>
  <c r="W17" i="3"/>
  <c r="X17" i="3"/>
  <c r="Y17" i="3"/>
  <c r="Z17" i="3"/>
  <c r="W18" i="3"/>
  <c r="X18" i="3"/>
  <c r="Y18" i="3"/>
  <c r="Z18" i="3"/>
  <c r="AA18" i="3"/>
  <c r="W19" i="3"/>
  <c r="X19" i="3"/>
  <c r="Y19" i="3"/>
  <c r="Z19" i="3"/>
  <c r="AA19" i="3"/>
  <c r="W20" i="3"/>
  <c r="X20" i="3"/>
  <c r="Y20" i="3"/>
  <c r="Z20" i="3"/>
  <c r="AA20" i="3"/>
  <c r="W21" i="3"/>
  <c r="X21" i="3"/>
  <c r="Y21" i="3"/>
  <c r="Z21" i="3"/>
  <c r="W22" i="3"/>
  <c r="X22" i="3"/>
  <c r="Y22" i="3"/>
  <c r="Z22" i="3"/>
  <c r="AA22" i="3"/>
  <c r="W23" i="3"/>
  <c r="AD30" i="7" s="1"/>
  <c r="AJ44" i="7" s="1"/>
  <c r="X23" i="3"/>
  <c r="Y23" i="3"/>
  <c r="Z23" i="3"/>
  <c r="AA23" i="3"/>
  <c r="W24" i="3"/>
  <c r="X24" i="3"/>
  <c r="Y24" i="3"/>
  <c r="Z24" i="3"/>
  <c r="AA24" i="3"/>
  <c r="W25" i="3"/>
  <c r="AD32" i="7" s="1"/>
  <c r="AJ46" i="7" s="1"/>
  <c r="X25" i="3"/>
  <c r="Y25" i="3"/>
  <c r="Z25" i="3"/>
  <c r="AA25" i="3"/>
  <c r="W26" i="3"/>
  <c r="X26" i="3"/>
  <c r="Y26" i="3"/>
  <c r="Z26" i="3"/>
  <c r="AA26" i="3"/>
  <c r="W27" i="3"/>
  <c r="AD34" i="7" s="1"/>
  <c r="AJ48" i="7" s="1"/>
  <c r="X27" i="3"/>
  <c r="Y27" i="3"/>
  <c r="Z27" i="3"/>
  <c r="AA27" i="3"/>
  <c r="W28" i="3"/>
  <c r="X28" i="3"/>
  <c r="Y28" i="3"/>
  <c r="Z28" i="3"/>
  <c r="AA28" i="3"/>
  <c r="W29" i="3"/>
  <c r="AD36" i="7" s="1"/>
  <c r="AJ50" i="7" s="1"/>
  <c r="X29" i="3"/>
  <c r="Y29" i="3"/>
  <c r="Z29" i="3"/>
  <c r="AA29" i="3"/>
  <c r="W30" i="3"/>
  <c r="X30" i="3"/>
  <c r="Y30" i="3"/>
  <c r="Z30" i="3"/>
  <c r="AA30" i="3"/>
  <c r="W31" i="3"/>
  <c r="AD38" i="7" s="1"/>
  <c r="AJ52" i="7" s="1"/>
  <c r="Y31" i="3"/>
  <c r="Z31" i="3"/>
  <c r="AA31" i="3"/>
  <c r="X10" i="3"/>
  <c r="Y10" i="3"/>
  <c r="Z10" i="3"/>
  <c r="W10" i="3"/>
  <c r="K12" i="7" l="1"/>
  <c r="K8" i="7"/>
  <c r="K10" i="7"/>
  <c r="S8" i="7"/>
  <c r="K7" i="7"/>
  <c r="K13" i="7"/>
  <c r="K9" i="7"/>
  <c r="S12" i="7"/>
  <c r="K11" i="7"/>
  <c r="K6" i="7"/>
  <c r="S10" i="7"/>
  <c r="S6" i="7"/>
  <c r="H82" i="9"/>
  <c r="E77" i="9"/>
  <c r="H77" i="9" s="1"/>
  <c r="E72" i="9"/>
  <c r="E76" i="9"/>
  <c r="H76" i="9" s="1"/>
  <c r="E80" i="9"/>
  <c r="H80" i="9" s="1"/>
  <c r="E84" i="9"/>
  <c r="H84" i="9" s="1"/>
  <c r="E75" i="9"/>
  <c r="E81" i="9"/>
  <c r="H81" i="9" s="1"/>
  <c r="E73" i="9"/>
  <c r="E79" i="9"/>
  <c r="H79" i="9" s="1"/>
  <c r="E83" i="9"/>
  <c r="H83" i="9" s="1"/>
  <c r="E74" i="9"/>
  <c r="E78" i="9"/>
  <c r="H78" i="9" s="1"/>
  <c r="E47" i="9"/>
  <c r="E44" i="9"/>
  <c r="E48" i="9"/>
  <c r="E52" i="9"/>
  <c r="E56" i="9"/>
  <c r="E49" i="9"/>
  <c r="E53" i="9"/>
  <c r="E45" i="9"/>
  <c r="E51" i="9"/>
  <c r="E55" i="9"/>
  <c r="E46" i="9"/>
  <c r="E50" i="9"/>
  <c r="E16" i="9"/>
  <c r="E25" i="9"/>
  <c r="E21" i="9"/>
  <c r="H21" i="9" s="1"/>
  <c r="E17" i="9"/>
  <c r="E26" i="9"/>
  <c r="E18" i="9"/>
  <c r="E28" i="9"/>
  <c r="E24" i="9"/>
  <c r="E20" i="9"/>
  <c r="E22" i="9"/>
  <c r="E27" i="9"/>
  <c r="E23" i="9"/>
  <c r="S13" i="7"/>
  <c r="S9" i="7"/>
  <c r="S5" i="7"/>
  <c r="K5" i="7"/>
  <c r="F12" i="2"/>
  <c r="F6" i="2"/>
  <c r="F8" i="2"/>
  <c r="F10" i="2"/>
  <c r="F7" i="2"/>
  <c r="F9" i="2"/>
  <c r="F11" i="2"/>
  <c r="C6" i="7"/>
  <c r="AE31" i="7" s="1"/>
  <c r="C7" i="7"/>
  <c r="AE32" i="7" s="1"/>
  <c r="C8" i="7"/>
  <c r="AE33" i="7" s="1"/>
  <c r="C9" i="7"/>
  <c r="AE34" i="7" s="1"/>
  <c r="C10" i="7"/>
  <c r="AE35" i="7" s="1"/>
  <c r="C11" i="7"/>
  <c r="AE36" i="7" s="1"/>
  <c r="C12" i="7"/>
  <c r="AE37" i="7" s="1"/>
  <c r="C13" i="7"/>
  <c r="AE38" i="7" s="1"/>
  <c r="C5" i="7"/>
  <c r="AE30" i="7" s="1"/>
  <c r="Z5" i="7"/>
  <c r="Z6" i="7"/>
  <c r="Z7" i="7"/>
  <c r="Z8" i="7"/>
  <c r="Z9" i="7"/>
  <c r="Z10" i="7"/>
  <c r="Z11" i="7"/>
  <c r="Z12" i="7"/>
  <c r="Z4" i="7"/>
  <c r="B6" i="7"/>
  <c r="D6" i="7"/>
  <c r="B7" i="7"/>
  <c r="D7" i="7"/>
  <c r="B8" i="7"/>
  <c r="D8" i="7"/>
  <c r="B9" i="7"/>
  <c r="D9" i="7"/>
  <c r="B10" i="7"/>
  <c r="D10" i="7"/>
  <c r="B11" i="7"/>
  <c r="D11" i="7"/>
  <c r="B12" i="7"/>
  <c r="D12" i="7"/>
  <c r="B13" i="7"/>
  <c r="H13" i="7" s="1"/>
  <c r="P13" i="7" s="1"/>
  <c r="D13" i="7"/>
  <c r="D5" i="7"/>
  <c r="B5" i="7"/>
  <c r="H5" i="7" s="1"/>
  <c r="P5" i="7" s="1"/>
  <c r="AD5" i="7"/>
  <c r="AD6" i="7"/>
  <c r="AD7" i="7"/>
  <c r="AD8" i="7"/>
  <c r="AD9" i="7"/>
  <c r="AD10" i="7"/>
  <c r="AD11" i="7"/>
  <c r="AD12" i="7"/>
  <c r="AD4" i="7"/>
  <c r="P13" i="2"/>
  <c r="G22" i="9" s="1"/>
  <c r="P14" i="2"/>
  <c r="G23" i="9" s="1"/>
  <c r="P15" i="2"/>
  <c r="G24" i="9" s="1"/>
  <c r="P16" i="2"/>
  <c r="G25" i="9" s="1"/>
  <c r="P17" i="2"/>
  <c r="G26" i="9" s="1"/>
  <c r="P18" i="2"/>
  <c r="G27" i="9" s="1"/>
  <c r="P19" i="2"/>
  <c r="G28" i="9" s="1"/>
  <c r="P12" i="2"/>
  <c r="G21" i="9" s="1"/>
  <c r="P11" i="2"/>
  <c r="G20" i="9" s="1"/>
  <c r="X5" i="7"/>
  <c r="X6" i="7"/>
  <c r="X7" i="7"/>
  <c r="X8" i="7"/>
  <c r="X9" i="7"/>
  <c r="X12" i="7"/>
  <c r="X4" i="7"/>
  <c r="AA11" i="2"/>
  <c r="AA4" i="7" s="1"/>
  <c r="W11" i="2"/>
  <c r="AA19" i="2"/>
  <c r="AA12" i="7" s="1"/>
  <c r="AA18" i="2"/>
  <c r="AA11" i="7" s="1"/>
  <c r="AA17" i="2"/>
  <c r="AA10" i="7" s="1"/>
  <c r="AA16" i="2"/>
  <c r="AA9" i="7" s="1"/>
  <c r="AA15" i="2"/>
  <c r="AA8" i="7" s="1"/>
  <c r="AA14" i="2"/>
  <c r="AA7" i="7" s="1"/>
  <c r="AA13" i="2"/>
  <c r="AA6" i="7" s="1"/>
  <c r="AA12" i="2"/>
  <c r="AA5" i="7" s="1"/>
  <c r="W13" i="2"/>
  <c r="AA32" i="7" s="1"/>
  <c r="AB32" i="7" s="1"/>
  <c r="W14" i="2"/>
  <c r="AA33" i="7" s="1"/>
  <c r="AB33" i="7" s="1"/>
  <c r="W15" i="2"/>
  <c r="AA34" i="7" s="1"/>
  <c r="AB34" i="7" s="1"/>
  <c r="W16" i="2"/>
  <c r="AA35" i="7" s="1"/>
  <c r="AB35" i="7" s="1"/>
  <c r="W17" i="2"/>
  <c r="AA36" i="7" s="1"/>
  <c r="AB36" i="7" s="1"/>
  <c r="W18" i="2"/>
  <c r="AA37" i="7" s="1"/>
  <c r="AB37" i="7" s="1"/>
  <c r="W19" i="2"/>
  <c r="AA38" i="7" s="1"/>
  <c r="AB38" i="7" s="1"/>
  <c r="W12" i="2"/>
  <c r="AA31" i="7" s="1"/>
  <c r="AB31" i="7" s="1"/>
  <c r="O27" i="6"/>
  <c r="X11" i="7" s="1"/>
  <c r="O28" i="6"/>
  <c r="O26" i="6"/>
  <c r="X10" i="7" s="1"/>
  <c r="Q27" i="6"/>
  <c r="Q28" i="6"/>
  <c r="Q26" i="6"/>
  <c r="Z8" i="6"/>
  <c r="AA8" i="6"/>
  <c r="AB8" i="6"/>
  <c r="AC8" i="6"/>
  <c r="AD8" i="6"/>
  <c r="AE8" i="6"/>
  <c r="Z9" i="6"/>
  <c r="AA9" i="6"/>
  <c r="AB9" i="6"/>
  <c r="AC9" i="6"/>
  <c r="AD9" i="6"/>
  <c r="AE9" i="6"/>
  <c r="Z10" i="6"/>
  <c r="AA10" i="6"/>
  <c r="AB10" i="6"/>
  <c r="AC10" i="6"/>
  <c r="AD10" i="6"/>
  <c r="AE10" i="6"/>
  <c r="Z11" i="6"/>
  <c r="AA11" i="6"/>
  <c r="AB11" i="6"/>
  <c r="AC11" i="6"/>
  <c r="AD11" i="6"/>
  <c r="AE11" i="6"/>
  <c r="Z12" i="6"/>
  <c r="AA12" i="6"/>
  <c r="AB12" i="6"/>
  <c r="AC12" i="6"/>
  <c r="AD12" i="6"/>
  <c r="AE12" i="6"/>
  <c r="Z13" i="6"/>
  <c r="AA13" i="6"/>
  <c r="AB13" i="6"/>
  <c r="AC13" i="6"/>
  <c r="AD13" i="6"/>
  <c r="AE13" i="6"/>
  <c r="Z14" i="6"/>
  <c r="AA14" i="6"/>
  <c r="AB14" i="6"/>
  <c r="AC14" i="6"/>
  <c r="AD14" i="6"/>
  <c r="AE14" i="6"/>
  <c r="Z15" i="6"/>
  <c r="AA15" i="6"/>
  <c r="AB15" i="6"/>
  <c r="AC15" i="6"/>
  <c r="AD15" i="6"/>
  <c r="AE15" i="6"/>
  <c r="Z16" i="6"/>
  <c r="AA16" i="6"/>
  <c r="AB16" i="6"/>
  <c r="AC16" i="6"/>
  <c r="AD16" i="6"/>
  <c r="AE16" i="6"/>
  <c r="Z17" i="6"/>
  <c r="AA17" i="6"/>
  <c r="AB17" i="6"/>
  <c r="AC17" i="6"/>
  <c r="AD17" i="6"/>
  <c r="AE17" i="6"/>
  <c r="Z18" i="6"/>
  <c r="AA18" i="6"/>
  <c r="AB18" i="6"/>
  <c r="AC18" i="6"/>
  <c r="AD18" i="6"/>
  <c r="AE18" i="6"/>
  <c r="Z19" i="6"/>
  <c r="AA19" i="6"/>
  <c r="AB19" i="6"/>
  <c r="AC19" i="6"/>
  <c r="AD19" i="6"/>
  <c r="AE19" i="6"/>
  <c r="Z20" i="6"/>
  <c r="AA20" i="6"/>
  <c r="AB20" i="6"/>
  <c r="AC20" i="6"/>
  <c r="AD20" i="6"/>
  <c r="AE20" i="6"/>
  <c r="Z21" i="6"/>
  <c r="AA21" i="6"/>
  <c r="AB21" i="6"/>
  <c r="AC21" i="6"/>
  <c r="AD21" i="6"/>
  <c r="AE21" i="6"/>
  <c r="Z22" i="6"/>
  <c r="AA22" i="6"/>
  <c r="AB22" i="6"/>
  <c r="AC22" i="6"/>
  <c r="AD22" i="6"/>
  <c r="AE22" i="6"/>
  <c r="Z23" i="6"/>
  <c r="AA23" i="6"/>
  <c r="AB23" i="6"/>
  <c r="AC23" i="6"/>
  <c r="AD23" i="6"/>
  <c r="AE23" i="6"/>
  <c r="Z24" i="6"/>
  <c r="AA24" i="6"/>
  <c r="AB24" i="6"/>
  <c r="AC24" i="6"/>
  <c r="AD24" i="6"/>
  <c r="AE24" i="6"/>
  <c r="Z25" i="6"/>
  <c r="AA25" i="6"/>
  <c r="AB25" i="6"/>
  <c r="AC25" i="6"/>
  <c r="AD25" i="6"/>
  <c r="AE25" i="6"/>
  <c r="Z26" i="6"/>
  <c r="AA26" i="6"/>
  <c r="AB26" i="6"/>
  <c r="AC26" i="6"/>
  <c r="AD26" i="6"/>
  <c r="AE26" i="6"/>
  <c r="Z27" i="6"/>
  <c r="AA27" i="6"/>
  <c r="AB27" i="6"/>
  <c r="AC27" i="6"/>
  <c r="AD27" i="6"/>
  <c r="AE27" i="6"/>
  <c r="Z28" i="6"/>
  <c r="AA28" i="6"/>
  <c r="AB28" i="6"/>
  <c r="AC28" i="6"/>
  <c r="AD28" i="6"/>
  <c r="AE28" i="6"/>
  <c r="AE7" i="6"/>
  <c r="AD7" i="6"/>
  <c r="AC7" i="6"/>
  <c r="AB7" i="6"/>
  <c r="AA7" i="6"/>
  <c r="Z7" i="6"/>
  <c r="V26" i="6"/>
  <c r="W26" i="6"/>
  <c r="X26" i="6"/>
  <c r="Y26" i="6"/>
  <c r="V27" i="6"/>
  <c r="W27" i="6"/>
  <c r="X27" i="6"/>
  <c r="Y27" i="6"/>
  <c r="V28" i="6"/>
  <c r="W28" i="6"/>
  <c r="X28" i="6"/>
  <c r="Y28" i="6"/>
  <c r="AB8" i="7" l="1"/>
  <c r="T5" i="7"/>
  <c r="U5" i="7" s="1"/>
  <c r="T9" i="7"/>
  <c r="T8" i="7"/>
  <c r="T6" i="7"/>
  <c r="T11" i="7"/>
  <c r="H25" i="9"/>
  <c r="T7" i="7"/>
  <c r="H23" i="9"/>
  <c r="H22" i="9"/>
  <c r="H20" i="9"/>
  <c r="H26" i="9"/>
  <c r="H24" i="9"/>
  <c r="AA30" i="7"/>
  <c r="AB30" i="7" s="1"/>
  <c r="G51" i="9"/>
  <c r="H51" i="9" s="1"/>
  <c r="G55" i="9"/>
  <c r="H55" i="9" s="1"/>
  <c r="G52" i="9"/>
  <c r="H52" i="9" s="1"/>
  <c r="G56" i="9"/>
  <c r="H56" i="9" s="1"/>
  <c r="G49" i="9"/>
  <c r="H49" i="9" s="1"/>
  <c r="G53" i="9"/>
  <c r="H53" i="9" s="1"/>
  <c r="G48" i="9"/>
  <c r="H48" i="9" s="1"/>
  <c r="G50" i="9"/>
  <c r="H50" i="9" s="1"/>
  <c r="G54" i="9"/>
  <c r="H54" i="9" s="1"/>
  <c r="H27" i="9"/>
  <c r="H28" i="9"/>
  <c r="T12" i="7"/>
  <c r="T13" i="7"/>
  <c r="U13" i="7" s="1"/>
  <c r="T10" i="7"/>
  <c r="AI51" i="7"/>
  <c r="H12" i="7"/>
  <c r="P12" i="7" s="1"/>
  <c r="AI47" i="7"/>
  <c r="H8" i="7"/>
  <c r="P8" i="7" s="1"/>
  <c r="AI49" i="7"/>
  <c r="H10" i="7"/>
  <c r="P10" i="7" s="1"/>
  <c r="AI45" i="7"/>
  <c r="H6" i="7"/>
  <c r="P6" i="7" s="1"/>
  <c r="AI50" i="7"/>
  <c r="H11" i="7"/>
  <c r="P11" i="7" s="1"/>
  <c r="AI48" i="7"/>
  <c r="H9" i="7"/>
  <c r="P9" i="7" s="1"/>
  <c r="AI46" i="7"/>
  <c r="H7" i="7"/>
  <c r="P7" i="7" s="1"/>
  <c r="AI44" i="7"/>
  <c r="AJ25" i="7"/>
  <c r="AJ26" i="7"/>
  <c r="AI52" i="7"/>
  <c r="AB6" i="7"/>
  <c r="E9" i="7"/>
  <c r="L5" i="7"/>
  <c r="M5" i="7" s="1"/>
  <c r="AF34" i="7"/>
  <c r="AG34" i="7" s="1"/>
  <c r="AF31" i="7"/>
  <c r="AG31" i="7" s="1"/>
  <c r="AF35" i="7"/>
  <c r="AG35" i="7" s="1"/>
  <c r="AF30" i="7"/>
  <c r="AG30" i="7" s="1"/>
  <c r="AF37" i="7"/>
  <c r="AG37" i="7" s="1"/>
  <c r="AF32" i="7"/>
  <c r="AG32" i="7" s="1"/>
  <c r="AF36" i="7"/>
  <c r="AG36" i="7" s="1"/>
  <c r="AF33" i="7"/>
  <c r="AG33" i="7" s="1"/>
  <c r="AF38" i="7"/>
  <c r="AG38" i="7" s="1"/>
  <c r="AB10" i="7"/>
  <c r="AB12" i="7"/>
  <c r="E5" i="7"/>
  <c r="E13" i="7"/>
  <c r="AE12" i="7"/>
  <c r="E11" i="7"/>
  <c r="E12" i="7"/>
  <c r="E10" i="7"/>
  <c r="E7" i="7"/>
  <c r="AE9" i="7"/>
  <c r="E8" i="7"/>
  <c r="E6" i="7"/>
  <c r="AE7" i="7"/>
  <c r="AE6" i="7"/>
  <c r="AB4" i="7"/>
  <c r="AE11" i="7"/>
  <c r="AE8" i="7"/>
  <c r="AE4" i="7"/>
  <c r="AE10" i="7"/>
  <c r="AE5" i="7"/>
  <c r="AB5" i="7"/>
  <c r="AB9" i="7"/>
  <c r="AB7" i="7"/>
  <c r="AB11" i="7"/>
  <c r="U28" i="6"/>
  <c r="U27" i="6"/>
  <c r="U26" i="6"/>
  <c r="V8" i="6"/>
  <c r="W8" i="6"/>
  <c r="X8" i="6"/>
  <c r="Y8" i="6"/>
  <c r="V9" i="6"/>
  <c r="W9" i="6"/>
  <c r="X9" i="6"/>
  <c r="Y9" i="6"/>
  <c r="V10" i="6"/>
  <c r="W10" i="6"/>
  <c r="X10" i="6"/>
  <c r="Y10" i="6"/>
  <c r="V11" i="6"/>
  <c r="W11" i="6"/>
  <c r="X11" i="6"/>
  <c r="Y11" i="6"/>
  <c r="V12" i="6"/>
  <c r="W12" i="6"/>
  <c r="X12" i="6"/>
  <c r="Y12" i="6"/>
  <c r="V13" i="6"/>
  <c r="W13" i="6"/>
  <c r="X13" i="6"/>
  <c r="Y13" i="6"/>
  <c r="V14" i="6"/>
  <c r="W14" i="6"/>
  <c r="X14" i="6"/>
  <c r="Y14" i="6"/>
  <c r="V15" i="6"/>
  <c r="W15" i="6"/>
  <c r="X15" i="6"/>
  <c r="Y15" i="6"/>
  <c r="V16" i="6"/>
  <c r="W16" i="6"/>
  <c r="X16" i="6"/>
  <c r="Y16" i="6"/>
  <c r="V17" i="6"/>
  <c r="W17" i="6"/>
  <c r="X17" i="6"/>
  <c r="Y17" i="6"/>
  <c r="V18" i="6"/>
  <c r="W18" i="6"/>
  <c r="X18" i="6"/>
  <c r="Y18" i="6"/>
  <c r="V19" i="6"/>
  <c r="W19" i="6"/>
  <c r="X19" i="6"/>
  <c r="Y19" i="6"/>
  <c r="V20" i="6"/>
  <c r="W20" i="6"/>
  <c r="X20" i="6"/>
  <c r="Y20" i="6"/>
  <c r="V21" i="6"/>
  <c r="W21" i="6"/>
  <c r="X21" i="6"/>
  <c r="Y21" i="6"/>
  <c r="V22" i="6"/>
  <c r="W22" i="6"/>
  <c r="X22" i="6"/>
  <c r="Y22" i="6"/>
  <c r="V23" i="6"/>
  <c r="W23" i="6"/>
  <c r="X23" i="6"/>
  <c r="Y23" i="6"/>
  <c r="V24" i="6"/>
  <c r="W24" i="6"/>
  <c r="X24" i="6"/>
  <c r="Y24" i="6"/>
  <c r="V25" i="6"/>
  <c r="W25" i="6"/>
  <c r="X25" i="6"/>
  <c r="Y25" i="6"/>
  <c r="X7" i="6"/>
  <c r="W7" i="6"/>
  <c r="V7" i="6"/>
  <c r="U10" i="7" l="1"/>
  <c r="U7" i="7"/>
  <c r="U12" i="7"/>
  <c r="U9" i="7"/>
  <c r="U6" i="7"/>
  <c r="U8" i="7"/>
  <c r="U11" i="7"/>
  <c r="L6" i="7"/>
  <c r="M6" i="7" s="1"/>
  <c r="L9" i="7"/>
  <c r="M9" i="7" s="1"/>
  <c r="L8" i="7"/>
  <c r="M8" i="7" s="1"/>
  <c r="L11" i="7"/>
  <c r="M11" i="7" s="1"/>
  <c r="L7" i="7"/>
  <c r="M7" i="7" s="1"/>
  <c r="L13" i="7"/>
  <c r="M13" i="7" s="1"/>
  <c r="L10" i="7"/>
  <c r="M10" i="7" s="1"/>
  <c r="L12" i="7"/>
  <c r="M12" i="7" s="1"/>
  <c r="U25" i="6"/>
  <c r="U23" i="6"/>
  <c r="U21" i="6"/>
  <c r="U19" i="6"/>
  <c r="U17" i="6"/>
  <c r="U15" i="6"/>
  <c r="U13" i="6"/>
  <c r="U11" i="6"/>
  <c r="U9" i="6"/>
  <c r="U24" i="6"/>
  <c r="U22" i="6"/>
  <c r="U20" i="6"/>
  <c r="U18" i="6"/>
  <c r="U16" i="6"/>
  <c r="U14" i="6"/>
  <c r="U12" i="6"/>
  <c r="U10" i="6"/>
  <c r="U8" i="6"/>
  <c r="U7" i="6"/>
  <c r="O10" i="2"/>
  <c r="O22" i="2" s="1"/>
  <c r="L7" i="2"/>
  <c r="R7" i="2" s="1"/>
  <c r="L8" i="2"/>
  <c r="R8" i="2" s="1"/>
  <c r="L9" i="2"/>
  <c r="R9" i="2" s="1"/>
  <c r="L10" i="2"/>
  <c r="L11" i="2"/>
  <c r="R11" i="2" s="1"/>
  <c r="L12" i="2"/>
  <c r="R12" i="2" s="1"/>
  <c r="L13" i="2"/>
  <c r="R13" i="2" s="1"/>
  <c r="L14" i="2"/>
  <c r="R14" i="2" s="1"/>
  <c r="L15" i="2"/>
  <c r="R15" i="2" s="1"/>
  <c r="L16" i="2"/>
  <c r="R16" i="2" s="1"/>
  <c r="L17" i="2"/>
  <c r="R17" i="2" s="1"/>
  <c r="L18" i="2"/>
  <c r="R18" i="2" s="1"/>
  <c r="L19" i="2"/>
  <c r="R19" i="2" s="1"/>
  <c r="C11" i="1"/>
  <c r="B11" i="1"/>
  <c r="R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Caiazza</author>
  </authors>
  <commentList>
    <comment ref="F28" authorId="0" shapeId="0" xr:uid="{9948767C-FE8F-4941-AE99-CB0E94170F97}">
      <text>
        <r>
          <rPr>
            <b/>
            <sz val="9"/>
            <color indexed="81"/>
            <rFont val="Tahoma"/>
            <family val="2"/>
          </rPr>
          <t>Roger Caiazza:</t>
        </r>
        <r>
          <rPr>
            <sz val="9"/>
            <color indexed="81"/>
            <rFont val="Tahoma"/>
            <family val="2"/>
          </rPr>
          <t xml:space="preserve">
NYS RGGI program emission reduction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Caiazza</author>
  </authors>
  <commentList>
    <comment ref="H9" authorId="0" shapeId="0" xr:uid="{F3F54E8C-3862-4575-B420-9BE0D2047BBE}">
      <text>
        <r>
          <rPr>
            <b/>
            <sz val="9"/>
            <color indexed="81"/>
            <rFont val="Tahoma"/>
            <family val="2"/>
          </rPr>
          <t>Roger Caiazza:</t>
        </r>
        <r>
          <rPr>
            <sz val="9"/>
            <color indexed="81"/>
            <rFont val="Tahoma"/>
            <family val="2"/>
          </rPr>
          <t xml:space="preserve">
There is no report for Q4 2011
</t>
        </r>
      </text>
    </comment>
  </commentList>
</comments>
</file>

<file path=xl/sharedStrings.xml><?xml version="1.0" encoding="utf-8"?>
<sst xmlns="http://schemas.openxmlformats.org/spreadsheetml/2006/main" count="526" uniqueCount="262">
  <si>
    <t>Report</t>
  </si>
  <si>
    <t>Through Date</t>
  </si>
  <si>
    <t>Semi-annual</t>
  </si>
  <si>
    <t>Cumulative Annual Installed Savings</t>
  </si>
  <si>
    <t>NY RGGI Funded Program Status Report Summary -Net Greenhouse Gas Emission Savings (Tons CO2e)</t>
  </si>
  <si>
    <t>Cumulative Annual Pipeline Savings</t>
  </si>
  <si>
    <t>Cumulative Annual Committed Savings</t>
  </si>
  <si>
    <t>Expected Lifetime Total Savings</t>
  </si>
  <si>
    <t>Incentives</t>
  </si>
  <si>
    <t>Associated</t>
  </si>
  <si>
    <t>Total</t>
  </si>
  <si>
    <t>Costs ($millions)</t>
  </si>
  <si>
    <t>Installed</t>
  </si>
  <si>
    <t>Pipeline</t>
  </si>
  <si>
    <t>Net GHG Emission Savings (CO2e tons)</t>
  </si>
  <si>
    <t>Savings</t>
  </si>
  <si>
    <t>Cost Benefit $/ton</t>
  </si>
  <si>
    <t>Calculated</t>
  </si>
  <si>
    <t>Quarter 4</t>
  </si>
  <si>
    <t>New York State Clean Air Markets Division Emissions Data for All Regulatory Programs</t>
  </si>
  <si>
    <t>CO2</t>
  </si>
  <si>
    <t>Gross Load</t>
  </si>
  <si>
    <t>Steam Load</t>
  </si>
  <si>
    <t>Heat Input</t>
  </si>
  <si>
    <t>Year</t>
  </si>
  <si>
    <t>RGGI</t>
  </si>
  <si>
    <t>Coal</t>
  </si>
  <si>
    <t>Oil</t>
  </si>
  <si>
    <t>Natural Gas</t>
  </si>
  <si>
    <t>Other</t>
  </si>
  <si>
    <t>NYS Primary Consumption of Energy for Electricity Generation (TBtu)</t>
  </si>
  <si>
    <t>Hydro</t>
  </si>
  <si>
    <t>Nuclear</t>
  </si>
  <si>
    <t>Net Imports</t>
  </si>
  <si>
    <t>Wind</t>
  </si>
  <si>
    <t>Solar</t>
  </si>
  <si>
    <t>CAMD Gross Heat Input</t>
  </si>
  <si>
    <t>Petroleum</t>
  </si>
  <si>
    <t>Conv. Hydro</t>
  </si>
  <si>
    <t>PS Hydro</t>
  </si>
  <si>
    <t>Waste</t>
  </si>
  <si>
    <t>LFG</t>
  </si>
  <si>
    <t>Wood</t>
  </si>
  <si>
    <t>In-State Generation</t>
  </si>
  <si>
    <t>Total Generation</t>
  </si>
  <si>
    <t>Electricity Requirements</t>
  </si>
  <si>
    <t>n/a</t>
  </si>
  <si>
    <t>NYS Electric Generation by Fuel Type (GWh)</t>
  </si>
  <si>
    <t>Imports</t>
  </si>
  <si>
    <t>Net Energy Savings (mmBtu per year)</t>
  </si>
  <si>
    <t>Net Electricity Savings or Renewable Energy Generation (MWh)</t>
  </si>
  <si>
    <t>Cumulative</t>
  </si>
  <si>
    <t>Total New York Electric Generation (GWh)</t>
  </si>
  <si>
    <t>New York Fossil Electric Generation (GWh)</t>
  </si>
  <si>
    <t>Total New York CO2 Emissions (tons)</t>
  </si>
  <si>
    <t>Cumulative RGGI Net GHG Emission Savings (tons CO2)</t>
  </si>
  <si>
    <t>Percentage Savings of Total Emissions</t>
  </si>
  <si>
    <t>RGGI Net Electricity Savings or Renewable Energy Generation (GWh)</t>
  </si>
  <si>
    <t>Annual</t>
  </si>
  <si>
    <t>Percentage Fossil Generation Savings of Total Generation</t>
  </si>
  <si>
    <t>Percentage Total Electric Savings of Total Generation</t>
  </si>
  <si>
    <t>Calculated from Rate Annual</t>
  </si>
  <si>
    <t>CO2 Rate (tons per mmBtu)</t>
  </si>
  <si>
    <t>RGGI Net Electricity Savings or Renewable Energy Heat Input  (mmBtu)</t>
  </si>
  <si>
    <t>CO2 Emissions Savings Calculated as Rate Times Heat Input (tons CO2)</t>
  </si>
  <si>
    <t>CO2 Rate (tons/mmBtu)</t>
  </si>
  <si>
    <t>CO2 Rate (lbs/MWh)</t>
  </si>
  <si>
    <t xml:space="preserve">NYSERDA  Patterns and Trends Data </t>
  </si>
  <si>
    <t>https://www.nyserda.ny.gov/About/Publications/Energy-Analysis-Technical-Reports-and-Studies/Patterns-and-Trends</t>
  </si>
  <si>
    <t>Data from RGGI Funding Status Reports</t>
  </si>
  <si>
    <t>https://www.nyserda.ny.gov/About/Publications/Program-Planning-Status-Reports/RGGI-Reports</t>
  </si>
  <si>
    <t xml:space="preserve">Table 2. Summary of Expected Cumulative Annual Program Benefits </t>
  </si>
  <si>
    <t>Data from annual emissions 1995 to 2021 spreadsheet</t>
  </si>
  <si>
    <t>2000 - 2008</t>
  </si>
  <si>
    <t>2009 - 2021</t>
  </si>
  <si>
    <t>2000 - 2021</t>
  </si>
  <si>
    <t>CO2 Emissions (short tons)</t>
  </si>
  <si>
    <t>Table 1: New York State EGU CO2 Emissions</t>
  </si>
  <si>
    <t>Table 3: Cumulative RGGI Net GHG Emissions Savings (tons CO2)</t>
  </si>
  <si>
    <t>CO2 Rate (lbs/MMBtu)</t>
  </si>
  <si>
    <t>EPA CAMD Total New York CO2 Emissions (tons)</t>
  </si>
  <si>
    <t>RGGI Funding Report Annual Benefits fromTable 2 Total New York Electric Generation (mmBtu)</t>
  </si>
  <si>
    <t xml:space="preserve">CO2 Emissions Savings (tons) Calculated as Rate (tons /mmBtu) Times Generation (mmBtu) </t>
  </si>
  <si>
    <t>Table 4: Alternative Calculation Methodolgy for CO2 Emission Savings</t>
  </si>
  <si>
    <t>CO2 Rate (tons/MMBtu)</t>
  </si>
  <si>
    <t>Table 5: Alternative Calculation Methodolgy 2 for CO2 Emission Savings</t>
  </si>
  <si>
    <t>RGGI Funding Report Annual Benefits Net Electricity Savings or Renewable Energy Generation (MWh)</t>
  </si>
  <si>
    <t>CO2 Rate (tons/MWhr)</t>
  </si>
  <si>
    <t>Calculated from Annual Rate</t>
  </si>
  <si>
    <t>RRI</t>
  </si>
  <si>
    <t>CO2 (tons)</t>
  </si>
  <si>
    <t>3-year Pre-</t>
  </si>
  <si>
    <t>RGGI Baseline</t>
  </si>
  <si>
    <t>RGGI Reductions</t>
  </si>
  <si>
    <t>Relative to Baseline</t>
  </si>
  <si>
    <t>Program Reductions</t>
  </si>
  <si>
    <t>Cumulative RGGI Funded</t>
  </si>
  <si>
    <t>Observed</t>
  </si>
  <si>
    <t>NY RGGI %</t>
  </si>
  <si>
    <t>of Total</t>
  </si>
  <si>
    <t>Heat Input (mmBtu)</t>
  </si>
  <si>
    <t>Generation (MWhr)</t>
  </si>
  <si>
    <t xml:space="preserve">Heat Input  </t>
  </si>
  <si>
    <t xml:space="preserve">CO2 </t>
  </si>
  <si>
    <t>Programs that Could Directly Affect CO2 Emissions</t>
  </si>
  <si>
    <t>Programs that Could Not Directly Affect CO2 Emissions</t>
  </si>
  <si>
    <t>Program</t>
  </si>
  <si>
    <t xml:space="preserve">Costs </t>
  </si>
  <si>
    <t xml:space="preserve">Net Energy Savings </t>
  </si>
  <si>
    <t xml:space="preserve">Net Electricity Savings or Renewable Energy Generation </t>
  </si>
  <si>
    <t>Net Greenhouse Gas Emission Savings</t>
  </si>
  <si>
    <t>(millions of dollars)</t>
  </si>
  <si>
    <t>(Annualized MMBtu)</t>
  </si>
  <si>
    <t>(Annualized MWh)</t>
  </si>
  <si>
    <t>(Annualized Tons CO2e)</t>
  </si>
  <si>
    <t>Total Costs</t>
  </si>
  <si>
    <t>Total Committed Savings</t>
  </si>
  <si>
    <t>Green Jobs - Green New York</t>
  </si>
  <si>
    <t>One- to Four-Family Residential_x000D_ Buildings Program Assessments</t>
  </si>
  <si>
    <t>One-to Four-Family Residential_x000D_ Buildings Program Financing</t>
  </si>
  <si>
    <t>Multifamily Performance Program_x000D_ Assessments</t>
  </si>
  <si>
    <t xml:space="preserve">Small Commercial Energy Efficiency Program Financing </t>
  </si>
  <si>
    <t>Energy Efficiency</t>
  </si>
  <si>
    <t>LIPA Energy Efficiency and Renewable Energy Initiative</t>
  </si>
  <si>
    <t xml:space="preserve">Multifamily Performance Program </t>
  </si>
  <si>
    <t>Multifamily Carbon Emissions_x000D_ Reduction Program</t>
  </si>
  <si>
    <t>EmPower New York</t>
  </si>
  <si>
    <t>Home Performance with ENERGY_x000D_ STAR</t>
  </si>
  <si>
    <t>Green Residential Building Program</t>
  </si>
  <si>
    <t>Solar Hot Water (Thermal) Program</t>
  </si>
  <si>
    <t>Low-Rise Residential New Construction_x000D_ Program</t>
  </si>
  <si>
    <t>Renewable Energy</t>
  </si>
  <si>
    <t>Renewable Heat New York</t>
  </si>
  <si>
    <t>NY-Sun Initiative</t>
  </si>
  <si>
    <t>NYSERDA Solar Electric</t>
  </si>
  <si>
    <t>Community Clean Energy</t>
  </si>
  <si>
    <t xml:space="preserve">Regional Economic Development &amp;_x000D_ GHG Reduction </t>
  </si>
  <si>
    <t>Clean Energy Communities</t>
  </si>
  <si>
    <t>Clean Energy Communities - LIPA</t>
  </si>
  <si>
    <t>Innovative GHG Abatement Strategies</t>
  </si>
  <si>
    <t>Charge NY</t>
  </si>
  <si>
    <t>Clean Energy Fund</t>
  </si>
  <si>
    <t xml:space="preserve">TOTAL  Annualized Cumulative </t>
  </si>
  <si>
    <t>Table 6: Summary of Expected Cumulative Annualized Program Benefits through 30 June 2022</t>
  </si>
  <si>
    <t>https://www.nyserda.ny.gov/-/media/Project/Nyserda/Files/Publications/Energy-Analysis/RGGI/EEA-RGGI-2022-H1.pdf</t>
  </si>
  <si>
    <t>Renewable Energy 2021</t>
  </si>
  <si>
    <t>Totals</t>
  </si>
  <si>
    <t>Renewable Energy 2020</t>
  </si>
  <si>
    <t>Renewable Energy 2019</t>
  </si>
  <si>
    <t>Renewable Energy 2018</t>
  </si>
  <si>
    <t>Renewable Energy 2017</t>
  </si>
  <si>
    <t>Renewable Energy 2016</t>
  </si>
  <si>
    <t>Renewable Energy 2015</t>
  </si>
  <si>
    <t>Renewable Energy 2014</t>
  </si>
  <si>
    <t>Renewable Energy 2013</t>
  </si>
  <si>
    <t>Grand Total</t>
  </si>
  <si>
    <r>
      <t>(a)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35,228,822 tons, for the 2019 allocation year.</t>
    </r>
  </si>
  <si>
    <r>
      <t>(b)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30,435,778 tons, for the 2020 allocation year.</t>
    </r>
  </si>
  <si>
    <r>
      <t>(c)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29,056,270 tons, for the 2021 allocation year.</t>
    </r>
  </si>
  <si>
    <r>
      <t>(d)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28,175,777 tons for the 2022 allocation year.</t>
    </r>
  </si>
  <si>
    <r>
      <t>(e)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27,295,284 tons for the 2023 allocation year.</t>
    </r>
  </si>
  <si>
    <r>
      <t>(f)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26,414,791 tons, for the 2024 allocation year.</t>
    </r>
  </si>
  <si>
    <r>
      <t>(g)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25,534,298 tons, for the 2025 allocation year.</t>
    </r>
  </si>
  <si>
    <r>
      <t>(h)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24,653,805 tons, for the 2026 allocation year.</t>
    </r>
  </si>
  <si>
    <r>
      <t>(i)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23,773,312 tons, for the 2027 allocation year.</t>
    </r>
  </si>
  <si>
    <r>
      <t>(j)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22,892,819 tons, for the 2028 allocation year.</t>
    </r>
  </si>
  <si>
    <r>
      <t>(k)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22,012,326 tons, for the 2029 allocation year.</t>
    </r>
  </si>
  <si>
    <r>
      <t>(l) The CO</t>
    </r>
    <r>
      <rPr>
        <vertAlign val="subscript"/>
        <sz val="10"/>
        <color rgb="FF212121"/>
        <rFont val="Arial"/>
        <family val="2"/>
      </rPr>
      <t>2</t>
    </r>
    <r>
      <rPr>
        <sz val="10"/>
        <color rgb="FF212121"/>
        <rFont val="Arial"/>
        <family val="2"/>
      </rPr>
      <t> Budget Trading Program base budget is 21,131,833 tons, for the 2030 allocation year and each succeeding allocation year.</t>
    </r>
  </si>
  <si>
    <t>https://govt.westlaw.com/nycrr/Document/Ibaffced6ebf311dda772d657453a78af?viewType=FullText&amp;originationContext=documenttoc&amp;transitionType=CategoryPageItem&amp;contextData=(sc.Default)</t>
  </si>
  <si>
    <t>Part 242 CO2 Budget Trading Program base budget</t>
  </si>
  <si>
    <t>Allocation</t>
  </si>
  <si>
    <t>Allowance</t>
  </si>
  <si>
    <t>Reduction</t>
  </si>
  <si>
    <t>Average CO2 reduction per year</t>
  </si>
  <si>
    <t>Total observed reduction</t>
  </si>
  <si>
    <t>NYSERDA % of observed reduction</t>
  </si>
  <si>
    <t>Cost per ton reduced</t>
  </si>
  <si>
    <t>NY RGGI</t>
  </si>
  <si>
    <t>Reduction %</t>
  </si>
  <si>
    <t>NY RGGI Funded Program Status Report Summary Spreadsheet Documentation</t>
  </si>
  <si>
    <t>Tab</t>
  </si>
  <si>
    <t>Contents</t>
  </si>
  <si>
    <t>CAMD Emissions Data</t>
  </si>
  <si>
    <t>Comparison of EGU RGGI-Funded Program Reductions to 3-Yr Baseline - CO2</t>
  </si>
  <si>
    <t>Baseline</t>
  </si>
  <si>
    <t>Annual Benefits</t>
  </si>
  <si>
    <t>Benefits</t>
  </si>
  <si>
    <t>Table 6</t>
  </si>
  <si>
    <t>Table 3: Cumulative RGGI Net GHG Emissions Savings (tons CO2); Table 4: Alternative Calculation Methodolgy for CO2 Emission Savings; and Table 5: Alternative Calculation Methodolgy 2 for CO2 Emission Savings</t>
  </si>
  <si>
    <t>Heat and Load</t>
  </si>
  <si>
    <t>New York State Clean Air Markets Division Emissions Heat an Load Data for All Regulatory Programs, for information only</t>
  </si>
  <si>
    <t>Plots</t>
  </si>
  <si>
    <t>Plots used in report</t>
  </si>
  <si>
    <t>NYSERDA Tbtu</t>
  </si>
  <si>
    <t>NYSERDA GWh</t>
  </si>
  <si>
    <t>NYSERDA  Patterns and Trends Data used in plots of energy use</t>
  </si>
  <si>
    <t>Cumulative Benefits</t>
  </si>
  <si>
    <t>Part 242 CO2 Budget Trading Program base budget used to determine future emission reduction requirements</t>
  </si>
  <si>
    <t>NY RGGI Funded Program Status Report Summary -Net Greenhouse Gas Emission Savings (Tons CO2e), for information only</t>
  </si>
  <si>
    <t>Table 7</t>
  </si>
  <si>
    <t>Table 7: 2023 Operating Plan Amendment Allocation of Funds by RGGI Reductions</t>
  </si>
  <si>
    <t>Total for Amendment</t>
  </si>
  <si>
    <t>Total for</t>
  </si>
  <si>
    <t>Direct RGGI</t>
  </si>
  <si>
    <t>Indirect RGGI</t>
  </si>
  <si>
    <t>Potential RGGI</t>
  </si>
  <si>
    <t>Increase</t>
  </si>
  <si>
    <t>No Emission</t>
  </si>
  <si>
    <t>Administration</t>
  </si>
  <si>
    <t>Ultimate Problem</t>
  </si>
  <si>
    <t>4-Year -Totals</t>
  </si>
  <si>
    <t>FY21-22</t>
  </si>
  <si>
    <t>FY22-23</t>
  </si>
  <si>
    <t>FY23-24</t>
  </si>
  <si>
    <t>FY24-25</t>
  </si>
  <si>
    <t>FY25-26</t>
  </si>
  <si>
    <t>To 3/31/25</t>
  </si>
  <si>
    <t>FY22-26</t>
  </si>
  <si>
    <t>FY23-FY26</t>
  </si>
  <si>
    <t>Reductions</t>
  </si>
  <si>
    <t>Generation</t>
  </si>
  <si>
    <t>Costs</t>
  </si>
  <si>
    <t>Trap</t>
  </si>
  <si>
    <t>2023 -ND</t>
  </si>
  <si>
    <t>2022-ND</t>
  </si>
  <si>
    <t>Exisiting ND</t>
  </si>
  <si>
    <t>Existing</t>
  </si>
  <si>
    <t>Residential PV Plus Storage</t>
  </si>
  <si>
    <t>Agrivoltaics</t>
  </si>
  <si>
    <t>Multifamily Low Carbon Capital Planning / Pathway Projects</t>
  </si>
  <si>
    <t>New Construction and Challenges</t>
  </si>
  <si>
    <t>Climate Resiliency</t>
  </si>
  <si>
    <t>Support for 2 Million Homes Goal</t>
  </si>
  <si>
    <t>Hydrogen Hubs</t>
  </si>
  <si>
    <t>Scoping Plan Implementation Research</t>
  </si>
  <si>
    <t>Federal Program Match Opportunities</t>
  </si>
  <si>
    <t>Clean Energy Workforce Development</t>
  </si>
  <si>
    <t>Community Heat Pump Systems</t>
  </si>
  <si>
    <t>Natural Carbon Solutions</t>
  </si>
  <si>
    <t>Equity and Climate Transformation Research</t>
  </si>
  <si>
    <t xml:space="preserve">Healthy New Homes Design &amp; Construction Challenge </t>
  </si>
  <si>
    <t>Clean Energy Hubs</t>
  </si>
  <si>
    <t xml:space="preserve">Climate Action Consumer Awareness &amp; Education </t>
  </si>
  <si>
    <t>NY SUN NYPA Customer Incentives</t>
  </si>
  <si>
    <t>LIPA Efficiency and RE</t>
  </si>
  <si>
    <t>EmPower Plus</t>
  </si>
  <si>
    <t>Pilot Projects with Municipal Utilities</t>
  </si>
  <si>
    <t>Disadvantaged Communities Schools/Buildings</t>
  </si>
  <si>
    <t>Electric Vehicle/Charge NY</t>
  </si>
  <si>
    <t>Climate Mitigation and Resilience Research</t>
  </si>
  <si>
    <t>_</t>
  </si>
  <si>
    <t xml:space="preserve">Clean Energy Communities </t>
  </si>
  <si>
    <t>Community Energy Engagement</t>
  </si>
  <si>
    <t xml:space="preserve">Renewable/NetZero Energy Demonstrations </t>
  </si>
  <si>
    <t>NYS Environmental Protection Fund</t>
  </si>
  <si>
    <t xml:space="preserve">Green JobsGreen NY Additional Funding </t>
  </si>
  <si>
    <t>Transfer to(from) Clean Energy Fund</t>
  </si>
  <si>
    <t>Program Evaluation</t>
  </si>
  <si>
    <t>Program Administration</t>
  </si>
  <si>
    <t>RGGI Inc prorata costs</t>
  </si>
  <si>
    <t>State Cost Recovery</t>
  </si>
  <si>
    <t>Percentage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</si>
</sst>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164" formatCode="#,##0.0"/>
    <numFmt numFmtId="165" formatCode="0.0%"/>
    <numFmt numFmtId="166" formatCode="#,##0.000"/>
    <numFmt numFmtId="167" formatCode="0.000"/>
    <numFmt numFmtId="168" formatCode="&quot;$&quot;#,##0.0_);[Red]\(&quot;$&quot;#,##0.0\)"/>
    <numFmt numFmtId="169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212121"/>
      <name val="Arial"/>
      <family val="2"/>
    </font>
    <font>
      <vertAlign val="subscript"/>
      <sz val="10"/>
      <color rgb="FF2121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1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4" xfId="0" applyFont="1" applyBorder="1"/>
    <xf numFmtId="0" fontId="1" fillId="0" borderId="8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3" xfId="0" applyNumberFormat="1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3" fontId="0" fillId="0" borderId="18" xfId="0" applyNumberFormat="1" applyBorder="1"/>
    <xf numFmtId="3" fontId="0" fillId="0" borderId="1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3" fontId="0" fillId="0" borderId="17" xfId="0" applyNumberFormat="1" applyBorder="1"/>
    <xf numFmtId="0" fontId="0" fillId="0" borderId="24" xfId="0" applyBorder="1"/>
    <xf numFmtId="3" fontId="0" fillId="0" borderId="25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/>
    <xf numFmtId="0" fontId="1" fillId="3" borderId="0" xfId="0" applyFont="1" applyFill="1" applyAlignment="1">
      <alignment horizontal="center"/>
    </xf>
    <xf numFmtId="0" fontId="1" fillId="0" borderId="1" xfId="0" applyFont="1" applyBorder="1"/>
    <xf numFmtId="3" fontId="0" fillId="0" borderId="2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3" fontId="0" fillId="0" borderId="34" xfId="0" applyNumberFormat="1" applyBorder="1"/>
    <xf numFmtId="3" fontId="0" fillId="0" borderId="35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4" fillId="0" borderId="0" xfId="2"/>
    <xf numFmtId="14" fontId="0" fillId="0" borderId="1" xfId="0" applyNumberFormat="1" applyBorder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164" fontId="0" fillId="0" borderId="1" xfId="0" applyNumberFormat="1" applyBorder="1"/>
    <xf numFmtId="3" fontId="0" fillId="0" borderId="32" xfId="0" applyNumberFormat="1" applyBorder="1"/>
    <xf numFmtId="3" fontId="0" fillId="0" borderId="40" xfId="0" applyNumberFormat="1" applyBorder="1"/>
    <xf numFmtId="0" fontId="1" fillId="0" borderId="36" xfId="0" applyFont="1" applyBorder="1" applyAlignment="1">
      <alignment horizontal="center"/>
    </xf>
    <xf numFmtId="0" fontId="1" fillId="0" borderId="41" xfId="0" applyFont="1" applyBorder="1"/>
    <xf numFmtId="0" fontId="1" fillId="0" borderId="9" xfId="0" applyFont="1" applyBorder="1"/>
    <xf numFmtId="0" fontId="0" fillId="0" borderId="2" xfId="0" applyBorder="1"/>
    <xf numFmtId="0" fontId="0" fillId="0" borderId="32" xfId="0" applyBorder="1"/>
    <xf numFmtId="0" fontId="0" fillId="0" borderId="3" xfId="0" applyBorder="1"/>
    <xf numFmtId="165" fontId="0" fillId="0" borderId="1" xfId="1" applyNumberFormat="1" applyFont="1" applyBorder="1"/>
    <xf numFmtId="0" fontId="1" fillId="0" borderId="4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0" fillId="0" borderId="0" xfId="1" applyNumberFormat="1" applyFont="1" applyBorder="1"/>
    <xf numFmtId="0" fontId="0" fillId="0" borderId="41" xfId="0" applyBorder="1"/>
    <xf numFmtId="0" fontId="1" fillId="0" borderId="43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4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6" xfId="0" applyFont="1" applyBorder="1" applyAlignment="1">
      <alignment horizontal="right"/>
    </xf>
    <xf numFmtId="168" fontId="6" fillId="0" borderId="18" xfId="0" applyNumberFormat="1" applyFont="1" applyBorder="1" applyAlignment="1">
      <alignment horizontal="center"/>
    </xf>
    <xf numFmtId="38" fontId="6" fillId="0" borderId="1" xfId="0" applyNumberFormat="1" applyFont="1" applyBorder="1" applyAlignment="1">
      <alignment horizontal="center"/>
    </xf>
    <xf numFmtId="38" fontId="6" fillId="0" borderId="19" xfId="0" applyNumberFormat="1" applyFont="1" applyBorder="1" applyAlignment="1">
      <alignment horizontal="center"/>
    </xf>
    <xf numFmtId="168" fontId="6" fillId="0" borderId="46" xfId="0" applyNumberFormat="1" applyFont="1" applyBorder="1" applyAlignment="1">
      <alignment horizontal="center"/>
    </xf>
    <xf numFmtId="0" fontId="6" fillId="0" borderId="46" xfId="0" applyFont="1" applyBorder="1"/>
    <xf numFmtId="0" fontId="6" fillId="0" borderId="47" xfId="0" applyFont="1" applyBorder="1"/>
    <xf numFmtId="0" fontId="7" fillId="0" borderId="36" xfId="0" applyFont="1" applyBorder="1" applyAlignment="1">
      <alignment horizontal="right"/>
    </xf>
    <xf numFmtId="168" fontId="6" fillId="0" borderId="10" xfId="0" applyNumberFormat="1" applyFont="1" applyBorder="1" applyAlignment="1">
      <alignment horizontal="center"/>
    </xf>
    <xf numFmtId="38" fontId="6" fillId="0" borderId="11" xfId="0" applyNumberFormat="1" applyFont="1" applyBorder="1" applyAlignment="1">
      <alignment horizontal="center"/>
    </xf>
    <xf numFmtId="38" fontId="6" fillId="0" borderId="12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8" fontId="0" fillId="0" borderId="0" xfId="0" applyNumberFormat="1"/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38" fontId="6" fillId="2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9" fontId="0" fillId="0" borderId="0" xfId="1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" xfId="0" applyFont="1" applyBorder="1"/>
    <xf numFmtId="0" fontId="1" fillId="0" borderId="3" xfId="0" applyFont="1" applyBorder="1"/>
    <xf numFmtId="9" fontId="0" fillId="0" borderId="1" xfId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4" borderId="0" xfId="0" applyFill="1"/>
    <xf numFmtId="14" fontId="0" fillId="4" borderId="0" xfId="0" applyNumberFormat="1" applyFill="1"/>
    <xf numFmtId="3" fontId="0" fillId="4" borderId="0" xfId="0" applyNumberFormat="1" applyFill="1"/>
    <xf numFmtId="1" fontId="0" fillId="4" borderId="0" xfId="0" applyNumberFormat="1" applyFill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168" fontId="0" fillId="0" borderId="0" xfId="0" applyNumberFormat="1"/>
    <xf numFmtId="38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9" fontId="0" fillId="0" borderId="3" xfId="0" applyNumberFormat="1" applyBorder="1"/>
    <xf numFmtId="169" fontId="0" fillId="0" borderId="1" xfId="0" applyNumberFormat="1" applyBorder="1"/>
    <xf numFmtId="9" fontId="0" fillId="0" borderId="1" xfId="1" applyFont="1" applyBorder="1"/>
    <xf numFmtId="9" fontId="0" fillId="0" borderId="0" xfId="0" applyNumberForma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York State Electric Generating Unit CO2 Emissions by Fuel Type 2000 - 2021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'CAMD Emissions Data'!$B$4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'CAMD Emissions Data'!$A$10:$A$31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xVal>
          <c:yVal>
            <c:numRef>
              <c:f>'CAMD Emissions Data'!$B$10:$B$31</c:f>
              <c:numCache>
                <c:formatCode>#,##0</c:formatCode>
                <c:ptCount val="22"/>
                <c:pt idx="0">
                  <c:v>57114438.523999996</c:v>
                </c:pt>
                <c:pt idx="1">
                  <c:v>53195854.009999998</c:v>
                </c:pt>
                <c:pt idx="2">
                  <c:v>51546524.308000028</c:v>
                </c:pt>
                <c:pt idx="3">
                  <c:v>53240988.933000006</c:v>
                </c:pt>
                <c:pt idx="4">
                  <c:v>55125940.991999999</c:v>
                </c:pt>
                <c:pt idx="5">
                  <c:v>56018927.693000004</c:v>
                </c:pt>
                <c:pt idx="6">
                  <c:v>47912219.015000001</c:v>
                </c:pt>
                <c:pt idx="7">
                  <c:v>49575411.034000002</c:v>
                </c:pt>
                <c:pt idx="8">
                  <c:v>42844447.917999998</c:v>
                </c:pt>
                <c:pt idx="9">
                  <c:v>38295367.911000021</c:v>
                </c:pt>
                <c:pt idx="10">
                  <c:v>42534712.958000012</c:v>
                </c:pt>
                <c:pt idx="11">
                  <c:v>37420974.624000005</c:v>
                </c:pt>
                <c:pt idx="12">
                  <c:v>35762480.59799996</c:v>
                </c:pt>
                <c:pt idx="13">
                  <c:v>33943663.900999971</c:v>
                </c:pt>
                <c:pt idx="14">
                  <c:v>34666066.641000018</c:v>
                </c:pt>
                <c:pt idx="15">
                  <c:v>33226651.687000006</c:v>
                </c:pt>
                <c:pt idx="16">
                  <c:v>31384868.120999992</c:v>
                </c:pt>
                <c:pt idx="17">
                  <c:v>25268988.217000004</c:v>
                </c:pt>
                <c:pt idx="18">
                  <c:v>27973346.119999997</c:v>
                </c:pt>
                <c:pt idx="19">
                  <c:v>24868687.187999994</c:v>
                </c:pt>
                <c:pt idx="20">
                  <c:v>26868363.636999995</c:v>
                </c:pt>
                <c:pt idx="21">
                  <c:v>28546529.206999999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9A-46BE-802B-E92B04D76566}"/>
            </c:ext>
          </c:extLst>
        </c:ser>
        <c:ser>
          <c:idx val="1"/>
          <c:order val="1"/>
          <c:tx>
            <c:strRef>
              <c:f>'CAMD Emissions Data'!$C$4</c:f>
              <c:strCache>
                <c:ptCount val="1"/>
                <c:pt idx="0">
                  <c:v>Coal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'CAMD Emissions Data'!$A$10:$A$31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xVal>
          <c:yVal>
            <c:numRef>
              <c:f>'CAMD Emissions Data'!$C$10:$C$31</c:f>
              <c:numCache>
                <c:formatCode>#,##0</c:formatCode>
                <c:ptCount val="22"/>
                <c:pt idx="0">
                  <c:v>25546640.620000001</c:v>
                </c:pt>
                <c:pt idx="1">
                  <c:v>23519892.351</c:v>
                </c:pt>
                <c:pt idx="2">
                  <c:v>24073494.399999995</c:v>
                </c:pt>
                <c:pt idx="3">
                  <c:v>24491989.467999998</c:v>
                </c:pt>
                <c:pt idx="4">
                  <c:v>23673987.589000002</c:v>
                </c:pt>
                <c:pt idx="5">
                  <c:v>22348514.740999997</c:v>
                </c:pt>
                <c:pt idx="6">
                  <c:v>22183541.135000005</c:v>
                </c:pt>
                <c:pt idx="7">
                  <c:v>21884899.247000001</c:v>
                </c:pt>
                <c:pt idx="8">
                  <c:v>18679354.706000004</c:v>
                </c:pt>
                <c:pt idx="9">
                  <c:v>13637433.427000005</c:v>
                </c:pt>
                <c:pt idx="10">
                  <c:v>14950792.331</c:v>
                </c:pt>
                <c:pt idx="11">
                  <c:v>10394280.398999998</c:v>
                </c:pt>
                <c:pt idx="12">
                  <c:v>5030163.7290000012</c:v>
                </c:pt>
                <c:pt idx="13">
                  <c:v>5463637.3000000007</c:v>
                </c:pt>
                <c:pt idx="14">
                  <c:v>4667127.2710000006</c:v>
                </c:pt>
                <c:pt idx="15">
                  <c:v>2229724.9189999998</c:v>
                </c:pt>
                <c:pt idx="16">
                  <c:v>1588949.65</c:v>
                </c:pt>
                <c:pt idx="17">
                  <c:v>763860.83099999989</c:v>
                </c:pt>
                <c:pt idx="18">
                  <c:v>703377.34</c:v>
                </c:pt>
                <c:pt idx="19">
                  <c:v>471968.848</c:v>
                </c:pt>
                <c:pt idx="20">
                  <c:v>174360.03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9A-46BE-802B-E92B04D76566}"/>
            </c:ext>
          </c:extLst>
        </c:ser>
        <c:ser>
          <c:idx val="2"/>
          <c:order val="2"/>
          <c:tx>
            <c:strRef>
              <c:f>'CAMD Emissions Data'!$D$4</c:f>
              <c:strCache>
                <c:ptCount val="1"/>
                <c:pt idx="0">
                  <c:v>Oil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'CAMD Emissions Data'!$A$10:$A$31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xVal>
          <c:yVal>
            <c:numRef>
              <c:f>'CAMD Emissions Data'!$D$10:$D$31</c:f>
              <c:numCache>
                <c:formatCode>#,##0</c:formatCode>
                <c:ptCount val="22"/>
                <c:pt idx="0">
                  <c:v>22488241.036000002</c:v>
                </c:pt>
                <c:pt idx="1">
                  <c:v>20636550.932</c:v>
                </c:pt>
                <c:pt idx="2">
                  <c:v>17924259.535999998</c:v>
                </c:pt>
                <c:pt idx="3">
                  <c:v>19789014.772999998</c:v>
                </c:pt>
                <c:pt idx="4">
                  <c:v>19574348.627999995</c:v>
                </c:pt>
                <c:pt idx="5">
                  <c:v>20163454.165000003</c:v>
                </c:pt>
                <c:pt idx="6">
                  <c:v>10487480.450999999</c:v>
                </c:pt>
                <c:pt idx="7">
                  <c:v>10732638.831000002</c:v>
                </c:pt>
                <c:pt idx="8">
                  <c:v>8515621.0609999988</c:v>
                </c:pt>
                <c:pt idx="9">
                  <c:v>6394482.0640000002</c:v>
                </c:pt>
                <c:pt idx="10">
                  <c:v>6701372.2609999999</c:v>
                </c:pt>
                <c:pt idx="11">
                  <c:v>4201172.3810000001</c:v>
                </c:pt>
                <c:pt idx="12">
                  <c:v>4349727.676</c:v>
                </c:pt>
                <c:pt idx="13">
                  <c:v>3871161.9549999991</c:v>
                </c:pt>
                <c:pt idx="14">
                  <c:v>3575143.9379999996</c:v>
                </c:pt>
                <c:pt idx="15">
                  <c:v>3971812.3260000004</c:v>
                </c:pt>
                <c:pt idx="16">
                  <c:v>1920260.284</c:v>
                </c:pt>
                <c:pt idx="17">
                  <c:v>921364.22100000002</c:v>
                </c:pt>
                <c:pt idx="18">
                  <c:v>1552644.6979999999</c:v>
                </c:pt>
                <c:pt idx="19">
                  <c:v>853770.90800000017</c:v>
                </c:pt>
                <c:pt idx="20">
                  <c:v>461208.83299999998</c:v>
                </c:pt>
                <c:pt idx="21">
                  <c:v>313114.57299999997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9A-46BE-802B-E92B04D76566}"/>
            </c:ext>
          </c:extLst>
        </c:ser>
        <c:ser>
          <c:idx val="3"/>
          <c:order val="3"/>
          <c:tx>
            <c:strRef>
              <c:f>'CAMD Emissions Data'!$E$4</c:f>
              <c:strCache>
                <c:ptCount val="1"/>
                <c:pt idx="0">
                  <c:v>Natural Gas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'CAMD Emissions Data'!$A$10:$A$31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xVal>
          <c:yVal>
            <c:numRef>
              <c:f>'CAMD Emissions Data'!$E$10:$E$31</c:f>
              <c:numCache>
                <c:formatCode>#,##0</c:formatCode>
                <c:ptCount val="22"/>
                <c:pt idx="0">
                  <c:v>8411264.6209999993</c:v>
                </c:pt>
                <c:pt idx="1">
                  <c:v>9039410.727</c:v>
                </c:pt>
                <c:pt idx="2">
                  <c:v>9548770.3720000014</c:v>
                </c:pt>
                <c:pt idx="3">
                  <c:v>8959984.6920000035</c:v>
                </c:pt>
                <c:pt idx="4">
                  <c:v>11877604.775</c:v>
                </c:pt>
                <c:pt idx="5">
                  <c:v>13506958.787000002</c:v>
                </c:pt>
                <c:pt idx="6">
                  <c:v>15241197.428999998</c:v>
                </c:pt>
                <c:pt idx="7">
                  <c:v>16957872.956</c:v>
                </c:pt>
                <c:pt idx="8">
                  <c:v>15205000.588000001</c:v>
                </c:pt>
                <c:pt idx="9">
                  <c:v>18055052.019000005</c:v>
                </c:pt>
                <c:pt idx="10">
                  <c:v>20793882.802999999</c:v>
                </c:pt>
                <c:pt idx="11">
                  <c:v>22825521.843999997</c:v>
                </c:pt>
                <c:pt idx="12">
                  <c:v>26195974.382000003</c:v>
                </c:pt>
                <c:pt idx="13">
                  <c:v>24534203.233000003</c:v>
                </c:pt>
                <c:pt idx="14">
                  <c:v>25765912.031000003</c:v>
                </c:pt>
                <c:pt idx="15">
                  <c:v>26425073.115000002</c:v>
                </c:pt>
                <c:pt idx="16">
                  <c:v>27259941.375</c:v>
                </c:pt>
                <c:pt idx="17">
                  <c:v>22956907.199999999</c:v>
                </c:pt>
                <c:pt idx="18">
                  <c:v>25081090.505999994</c:v>
                </c:pt>
                <c:pt idx="19">
                  <c:v>22999224.370000005</c:v>
                </c:pt>
                <c:pt idx="20">
                  <c:v>25638259.990999989</c:v>
                </c:pt>
                <c:pt idx="21">
                  <c:v>27619633.244000006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9A-46BE-802B-E92B04D76566}"/>
            </c:ext>
          </c:extLst>
        </c:ser>
        <c:ser>
          <c:idx val="4"/>
          <c:order val="4"/>
          <c:tx>
            <c:strRef>
              <c:f>'CAMD Emissions Data'!$F$4</c:f>
              <c:strCache>
                <c:ptCount val="1"/>
                <c:pt idx="0">
                  <c:v>Other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'CAMD Emissions Data'!$A$10:$A$31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xVal>
          <c:yVal>
            <c:numRef>
              <c:f>'CAMD Emissions Data'!$F$10:$F$31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444471.56300000002</c:v>
                </c:pt>
                <c:pt idx="9">
                  <c:v>208400.40100000001</c:v>
                </c:pt>
                <c:pt idx="10">
                  <c:v>88665.562999999995</c:v>
                </c:pt>
                <c:pt idx="11">
                  <c:v>0</c:v>
                </c:pt>
                <c:pt idx="12">
                  <c:v>186614.81099999999</c:v>
                </c:pt>
                <c:pt idx="13">
                  <c:v>74661.413</c:v>
                </c:pt>
                <c:pt idx="14">
                  <c:v>657883.40100000007</c:v>
                </c:pt>
                <c:pt idx="15">
                  <c:v>600041.32700000005</c:v>
                </c:pt>
                <c:pt idx="16">
                  <c:v>615716.81200000003</c:v>
                </c:pt>
                <c:pt idx="17">
                  <c:v>626855.96499999997</c:v>
                </c:pt>
                <c:pt idx="18">
                  <c:v>636233.576</c:v>
                </c:pt>
                <c:pt idx="19">
                  <c:v>543723.06199999992</c:v>
                </c:pt>
                <c:pt idx="20">
                  <c:v>594534.78300000005</c:v>
                </c:pt>
                <c:pt idx="21">
                  <c:v>613781.39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9A-46BE-802B-E92B04D76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053391"/>
        <c:axId val="1388408383"/>
      </c:scatterChart>
      <c:valAx>
        <c:axId val="1209053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408383"/>
        <c:crosses val="autoZero"/>
        <c:crossBetween val="midCat"/>
      </c:valAx>
      <c:valAx>
        <c:axId val="138840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0533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York State Electric Generating Unit Annual Net Generation (GWh) by Fuel Type 2000-2021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'NYSERA GWhr'!$V$6</c:f>
              <c:strCache>
                <c:ptCount val="1"/>
                <c:pt idx="0">
                  <c:v>Coal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GWhr'!$V$7:$V$28</c:f>
              <c:numCache>
                <c:formatCode>#,##0</c:formatCode>
                <c:ptCount val="22"/>
                <c:pt idx="0">
                  <c:v>25009.580999999998</c:v>
                </c:pt>
                <c:pt idx="1">
                  <c:v>23431.921999999999</c:v>
                </c:pt>
                <c:pt idx="2">
                  <c:v>23239.112000000001</c:v>
                </c:pt>
                <c:pt idx="3">
                  <c:v>23581.066999999999</c:v>
                </c:pt>
                <c:pt idx="4">
                  <c:v>22852.704000000002</c:v>
                </c:pt>
                <c:pt idx="5">
                  <c:v>20597.64</c:v>
                </c:pt>
                <c:pt idx="6">
                  <c:v>20967.84</c:v>
                </c:pt>
                <c:pt idx="7">
                  <c:v>21405.542000000001</c:v>
                </c:pt>
                <c:pt idx="8">
                  <c:v>19154.125</c:v>
                </c:pt>
                <c:pt idx="9">
                  <c:v>12758.873</c:v>
                </c:pt>
                <c:pt idx="10">
                  <c:v>13582.766</c:v>
                </c:pt>
                <c:pt idx="11">
                  <c:v>9426.1601899999987</c:v>
                </c:pt>
                <c:pt idx="12">
                  <c:v>4551.0390800000005</c:v>
                </c:pt>
                <c:pt idx="13">
                  <c:v>4697.1049999999996</c:v>
                </c:pt>
                <c:pt idx="14">
                  <c:v>4325.4415010000002</c:v>
                </c:pt>
                <c:pt idx="15">
                  <c:v>2046.1764499999999</c:v>
                </c:pt>
                <c:pt idx="16">
                  <c:v>1492.8</c:v>
                </c:pt>
                <c:pt idx="17">
                  <c:v>567.4</c:v>
                </c:pt>
                <c:pt idx="18">
                  <c:v>692</c:v>
                </c:pt>
                <c:pt idx="19">
                  <c:v>425.6</c:v>
                </c:pt>
                <c:pt idx="20">
                  <c:v>145.9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D7-497B-B947-CCFB7B37E469}"/>
            </c:ext>
          </c:extLst>
        </c:ser>
        <c:ser>
          <c:idx val="1"/>
          <c:order val="1"/>
          <c:tx>
            <c:strRef>
              <c:f>'NYSERA GWhr'!$W$6</c:f>
              <c:strCache>
                <c:ptCount val="1"/>
                <c:pt idx="0">
                  <c:v>Oil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GWhr'!$W$7:$W$28</c:f>
              <c:numCache>
                <c:formatCode>#,##0</c:formatCode>
                <c:ptCount val="22"/>
                <c:pt idx="0">
                  <c:v>14945.179</c:v>
                </c:pt>
                <c:pt idx="1">
                  <c:v>17458.367420642426</c:v>
                </c:pt>
                <c:pt idx="2">
                  <c:v>12651.633555235298</c:v>
                </c:pt>
                <c:pt idx="3">
                  <c:v>20829.997414876616</c:v>
                </c:pt>
                <c:pt idx="4">
                  <c:v>23353.44138391707</c:v>
                </c:pt>
                <c:pt idx="5">
                  <c:v>25619.325888818301</c:v>
                </c:pt>
                <c:pt idx="6">
                  <c:v>7440.7579267814845</c:v>
                </c:pt>
                <c:pt idx="7">
                  <c:v>8780.3749698952633</c:v>
                </c:pt>
                <c:pt idx="8">
                  <c:v>4000.5528381295258</c:v>
                </c:pt>
                <c:pt idx="9">
                  <c:v>2828.6779482304792</c:v>
                </c:pt>
                <c:pt idx="10">
                  <c:v>2093.5710306862047</c:v>
                </c:pt>
                <c:pt idx="11">
                  <c:v>1234.1628127880902</c:v>
                </c:pt>
                <c:pt idx="12">
                  <c:v>605.75930606717657</c:v>
                </c:pt>
                <c:pt idx="13">
                  <c:v>1057.1313760706944</c:v>
                </c:pt>
                <c:pt idx="14">
                  <c:v>2259.3447085107105</c:v>
                </c:pt>
                <c:pt idx="15">
                  <c:v>1991.876528447496</c:v>
                </c:pt>
                <c:pt idx="16">
                  <c:v>675.83055292152585</c:v>
                </c:pt>
                <c:pt idx="17">
                  <c:v>635.81677397294948</c:v>
                </c:pt>
                <c:pt idx="18">
                  <c:v>1677.8257123853191</c:v>
                </c:pt>
                <c:pt idx="19">
                  <c:v>104</c:v>
                </c:pt>
                <c:pt idx="20">
                  <c:v>209.2</c:v>
                </c:pt>
                <c:pt idx="21">
                  <c:v>154.1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D7-497B-B947-CCFB7B37E469}"/>
            </c:ext>
          </c:extLst>
        </c:ser>
        <c:ser>
          <c:idx val="2"/>
          <c:order val="2"/>
          <c:tx>
            <c:strRef>
              <c:f>'NYSERA GWhr'!$X$6</c:f>
              <c:strCache>
                <c:ptCount val="1"/>
                <c:pt idx="0">
                  <c:v>Natural Gas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GWhr'!$X$7:$X$28</c:f>
              <c:numCache>
                <c:formatCode>#,##0</c:formatCode>
                <c:ptCount val="22"/>
                <c:pt idx="0">
                  <c:v>39728.709000000003</c:v>
                </c:pt>
                <c:pt idx="1">
                  <c:v>40914.873579357583</c:v>
                </c:pt>
                <c:pt idx="2">
                  <c:v>42176.673444764703</c:v>
                </c:pt>
                <c:pt idx="3">
                  <c:v>30401.659585123391</c:v>
                </c:pt>
                <c:pt idx="4">
                  <c:v>30059.133616082941</c:v>
                </c:pt>
                <c:pt idx="5">
                  <c:v>34005.101111181699</c:v>
                </c:pt>
                <c:pt idx="6">
                  <c:v>46253.49407321852</c:v>
                </c:pt>
                <c:pt idx="7">
                  <c:v>48892.625030104733</c:v>
                </c:pt>
                <c:pt idx="8">
                  <c:v>46845.052161870473</c:v>
                </c:pt>
                <c:pt idx="9">
                  <c:v>44625.139511769521</c:v>
                </c:pt>
                <c:pt idx="10">
                  <c:v>51077.029869313796</c:v>
                </c:pt>
                <c:pt idx="11">
                  <c:v>52713.205185211904</c:v>
                </c:pt>
                <c:pt idx="12">
                  <c:v>62072.734956932814</c:v>
                </c:pt>
                <c:pt idx="13">
                  <c:v>57039.160102929287</c:v>
                </c:pt>
                <c:pt idx="14">
                  <c:v>57506.936074489277</c:v>
                </c:pt>
                <c:pt idx="15">
                  <c:v>59919.05812555251</c:v>
                </c:pt>
                <c:pt idx="16">
                  <c:v>59697.569447078473</c:v>
                </c:pt>
                <c:pt idx="17">
                  <c:v>50270.183226027046</c:v>
                </c:pt>
                <c:pt idx="18">
                  <c:v>53593.074287614676</c:v>
                </c:pt>
                <c:pt idx="19">
                  <c:v>51341.4</c:v>
                </c:pt>
                <c:pt idx="20">
                  <c:v>56069.700000000004</c:v>
                </c:pt>
                <c:pt idx="21">
                  <c:v>59466.600000000006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D7-497B-B947-CCFB7B37E469}"/>
            </c:ext>
          </c:extLst>
        </c:ser>
        <c:ser>
          <c:idx val="3"/>
          <c:order val="3"/>
          <c:tx>
            <c:strRef>
              <c:f>'NYSERA GWhr'!$Y$6</c:f>
              <c:strCache>
                <c:ptCount val="1"/>
                <c:pt idx="0">
                  <c:v>Other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GWhr'!$Y$7:$Y$28</c:f>
              <c:numCache>
                <c:formatCode>#,##0</c:formatCode>
                <c:ptCount val="22"/>
                <c:pt idx="1">
                  <c:v>2404</c:v>
                </c:pt>
                <c:pt idx="2">
                  <c:v>2282</c:v>
                </c:pt>
                <c:pt idx="3">
                  <c:v>2302</c:v>
                </c:pt>
                <c:pt idx="4">
                  <c:v>2303</c:v>
                </c:pt>
                <c:pt idx="5">
                  <c:v>2481</c:v>
                </c:pt>
                <c:pt idx="6">
                  <c:v>2488</c:v>
                </c:pt>
                <c:pt idx="7">
                  <c:v>2555</c:v>
                </c:pt>
                <c:pt idx="8">
                  <c:v>2996</c:v>
                </c:pt>
                <c:pt idx="9">
                  <c:v>2888</c:v>
                </c:pt>
                <c:pt idx="10">
                  <c:v>2916</c:v>
                </c:pt>
                <c:pt idx="11">
                  <c:v>2823.163642</c:v>
                </c:pt>
                <c:pt idx="12">
                  <c:v>2944.6900900000001</c:v>
                </c:pt>
                <c:pt idx="13">
                  <c:v>3002.9255560000001</c:v>
                </c:pt>
                <c:pt idx="14">
                  <c:v>3194.0265330000002</c:v>
                </c:pt>
                <c:pt idx="15">
                  <c:v>3028.1876969999998</c:v>
                </c:pt>
                <c:pt idx="16">
                  <c:v>2881.1000000000004</c:v>
                </c:pt>
                <c:pt idx="17">
                  <c:v>2918.5</c:v>
                </c:pt>
                <c:pt idx="18">
                  <c:v>2729.4</c:v>
                </c:pt>
                <c:pt idx="19">
                  <c:v>2647.7999999999997</c:v>
                </c:pt>
                <c:pt idx="20">
                  <c:v>2232.6</c:v>
                </c:pt>
                <c:pt idx="21">
                  <c:v>2485.1999999999998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D7-497B-B947-CCFB7B37E469}"/>
            </c:ext>
          </c:extLst>
        </c:ser>
        <c:ser>
          <c:idx val="4"/>
          <c:order val="4"/>
          <c:tx>
            <c:strRef>
              <c:f>'NYSERA GWhr'!$Z$6</c:f>
              <c:strCache>
                <c:ptCount val="1"/>
                <c:pt idx="0">
                  <c:v>Hydro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GWhr'!$Z$7:$Z$28</c:f>
              <c:numCache>
                <c:formatCode>#,##0</c:formatCode>
                <c:ptCount val="22"/>
                <c:pt idx="0">
                  <c:v>24909.572</c:v>
                </c:pt>
                <c:pt idx="1">
                  <c:v>21486</c:v>
                </c:pt>
                <c:pt idx="2">
                  <c:v>24612</c:v>
                </c:pt>
                <c:pt idx="3">
                  <c:v>24207</c:v>
                </c:pt>
                <c:pt idx="4">
                  <c:v>26745</c:v>
                </c:pt>
                <c:pt idx="5">
                  <c:v>26204</c:v>
                </c:pt>
                <c:pt idx="6">
                  <c:v>27110</c:v>
                </c:pt>
                <c:pt idx="7">
                  <c:v>24184</c:v>
                </c:pt>
                <c:pt idx="8">
                  <c:v>25711</c:v>
                </c:pt>
                <c:pt idx="9">
                  <c:v>26420</c:v>
                </c:pt>
                <c:pt idx="10">
                  <c:v>24214</c:v>
                </c:pt>
                <c:pt idx="11">
                  <c:v>27634.075709000001</c:v>
                </c:pt>
                <c:pt idx="12">
                  <c:v>24572.279575000004</c:v>
                </c:pt>
                <c:pt idx="13">
                  <c:v>25631</c:v>
                </c:pt>
                <c:pt idx="14">
                  <c:v>25974.003735000002</c:v>
                </c:pt>
                <c:pt idx="15">
                  <c:v>25879.447899999992</c:v>
                </c:pt>
                <c:pt idx="16">
                  <c:v>26314.1</c:v>
                </c:pt>
                <c:pt idx="17">
                  <c:v>29554.2</c:v>
                </c:pt>
                <c:pt idx="18">
                  <c:v>29045</c:v>
                </c:pt>
                <c:pt idx="19">
                  <c:v>30140.9</c:v>
                </c:pt>
                <c:pt idx="20">
                  <c:v>29521.3</c:v>
                </c:pt>
                <c:pt idx="21">
                  <c:v>28674.7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D7-497B-B947-CCFB7B37E469}"/>
            </c:ext>
          </c:extLst>
        </c:ser>
        <c:ser>
          <c:idx val="5"/>
          <c:order val="5"/>
          <c:tx>
            <c:strRef>
              <c:f>'NYSERA GWhr'!$AA$6</c:f>
              <c:strCache>
                <c:ptCount val="1"/>
                <c:pt idx="0">
                  <c:v>PS Hydro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GWhr'!$AA$7:$AA$28</c:f>
              <c:numCache>
                <c:formatCode>#,##0</c:formatCode>
                <c:ptCount val="22"/>
                <c:pt idx="0">
                  <c:v>1843</c:v>
                </c:pt>
                <c:pt idx="1">
                  <c:v>1666</c:v>
                </c:pt>
                <c:pt idx="2">
                  <c:v>1601</c:v>
                </c:pt>
                <c:pt idx="3">
                  <c:v>1591</c:v>
                </c:pt>
                <c:pt idx="4">
                  <c:v>1408</c:v>
                </c:pt>
                <c:pt idx="5">
                  <c:v>1379</c:v>
                </c:pt>
                <c:pt idx="6">
                  <c:v>1312</c:v>
                </c:pt>
                <c:pt idx="7">
                  <c:v>1373</c:v>
                </c:pt>
                <c:pt idx="8">
                  <c:v>1790</c:v>
                </c:pt>
                <c:pt idx="9">
                  <c:v>1525</c:v>
                </c:pt>
                <c:pt idx="10">
                  <c:v>889</c:v>
                </c:pt>
                <c:pt idx="11">
                  <c:v>720.58399999999995</c:v>
                </c:pt>
                <c:pt idx="12">
                  <c:v>730.69799999999998</c:v>
                </c:pt>
                <c:pt idx="13">
                  <c:v>765.61099999999999</c:v>
                </c:pt>
                <c:pt idx="14">
                  <c:v>849.36800000000005</c:v>
                </c:pt>
                <c:pt idx="15">
                  <c:v>824.846</c:v>
                </c:pt>
                <c:pt idx="16">
                  <c:v>835.6</c:v>
                </c:pt>
                <c:pt idx="17">
                  <c:v>795.3</c:v>
                </c:pt>
                <c:pt idx="18">
                  <c:v>811</c:v>
                </c:pt>
                <c:pt idx="19">
                  <c:v>583.1</c:v>
                </c:pt>
                <c:pt idx="20">
                  <c:v>635.5</c:v>
                </c:pt>
                <c:pt idx="21">
                  <c:v>711.9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D7-497B-B947-CCFB7B37E469}"/>
            </c:ext>
          </c:extLst>
        </c:ser>
        <c:ser>
          <c:idx val="6"/>
          <c:order val="6"/>
          <c:tx>
            <c:strRef>
              <c:f>'NYSERA GWhr'!$AB$6</c:f>
              <c:strCache>
                <c:ptCount val="1"/>
                <c:pt idx="0">
                  <c:v>Nuclear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GWhr'!$AB$7:$AB$28</c:f>
              <c:numCache>
                <c:formatCode>#,##0</c:formatCode>
                <c:ptCount val="22"/>
                <c:pt idx="0">
                  <c:v>31507.988000000001</c:v>
                </c:pt>
                <c:pt idx="1">
                  <c:v>40394.985000000001</c:v>
                </c:pt>
                <c:pt idx="2">
                  <c:v>39617.491000000002</c:v>
                </c:pt>
                <c:pt idx="3">
                  <c:v>40679.205000000002</c:v>
                </c:pt>
                <c:pt idx="4">
                  <c:v>40640.305</c:v>
                </c:pt>
                <c:pt idx="5">
                  <c:v>42443.152000000002</c:v>
                </c:pt>
                <c:pt idx="6">
                  <c:v>42223.898999999998</c:v>
                </c:pt>
                <c:pt idx="7">
                  <c:v>42452.853999999999</c:v>
                </c:pt>
                <c:pt idx="8">
                  <c:v>43209.171000000002</c:v>
                </c:pt>
                <c:pt idx="9">
                  <c:v>43484.614000000001</c:v>
                </c:pt>
                <c:pt idx="10">
                  <c:v>41869.535000000003</c:v>
                </c:pt>
                <c:pt idx="11">
                  <c:v>42695.008999999998</c:v>
                </c:pt>
                <c:pt idx="12">
                  <c:v>40774.559999999998</c:v>
                </c:pt>
                <c:pt idx="13">
                  <c:v>44755.606</c:v>
                </c:pt>
                <c:pt idx="14">
                  <c:v>43040.664290000001</c:v>
                </c:pt>
                <c:pt idx="15">
                  <c:v>44620.212080000005</c:v>
                </c:pt>
                <c:pt idx="16">
                  <c:v>41637.5</c:v>
                </c:pt>
                <c:pt idx="17">
                  <c:v>42174.6</c:v>
                </c:pt>
                <c:pt idx="18">
                  <c:v>43003</c:v>
                </c:pt>
                <c:pt idx="19">
                  <c:v>44787.899999999994</c:v>
                </c:pt>
                <c:pt idx="20">
                  <c:v>38437</c:v>
                </c:pt>
                <c:pt idx="21">
                  <c:v>31113.1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D7-497B-B947-CCFB7B37E469}"/>
            </c:ext>
          </c:extLst>
        </c:ser>
        <c:ser>
          <c:idx val="7"/>
          <c:order val="7"/>
          <c:tx>
            <c:strRef>
              <c:f>'NYSERA GWhr'!$AC$6</c:f>
              <c:strCache>
                <c:ptCount val="1"/>
                <c:pt idx="0">
                  <c:v>Wind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GWhr'!$AC$7:$AC$28</c:f>
              <c:numCache>
                <c:formatCode>#,##0</c:formatCode>
                <c:ptCount val="22"/>
                <c:pt idx="0">
                  <c:v>10.345000000000001</c:v>
                </c:pt>
                <c:pt idx="1">
                  <c:v>20.539000000000001</c:v>
                </c:pt>
                <c:pt idx="2">
                  <c:v>81.626000000000005</c:v>
                </c:pt>
                <c:pt idx="3">
                  <c:v>41.201000000000001</c:v>
                </c:pt>
                <c:pt idx="4">
                  <c:v>116.44971</c:v>
                </c:pt>
                <c:pt idx="5">
                  <c:v>102.99</c:v>
                </c:pt>
                <c:pt idx="6">
                  <c:v>655.37099999999998</c:v>
                </c:pt>
                <c:pt idx="7">
                  <c:v>833.476</c:v>
                </c:pt>
                <c:pt idx="8">
                  <c:v>1250.7003099999999</c:v>
                </c:pt>
                <c:pt idx="9">
                  <c:v>2266.33862</c:v>
                </c:pt>
                <c:pt idx="10">
                  <c:v>2596.154</c:v>
                </c:pt>
                <c:pt idx="11">
                  <c:v>2828.069</c:v>
                </c:pt>
                <c:pt idx="12">
                  <c:v>2991.58041</c:v>
                </c:pt>
                <c:pt idx="13">
                  <c:v>3539.498</c:v>
                </c:pt>
                <c:pt idx="14">
                  <c:v>3985.7972049999994</c:v>
                </c:pt>
                <c:pt idx="15">
                  <c:v>3983.8461260000008</c:v>
                </c:pt>
                <c:pt idx="16">
                  <c:v>3943.3</c:v>
                </c:pt>
                <c:pt idx="17">
                  <c:v>4219.2</c:v>
                </c:pt>
                <c:pt idx="18">
                  <c:v>3985.1</c:v>
                </c:pt>
                <c:pt idx="19">
                  <c:v>4453.6000000000004</c:v>
                </c:pt>
                <c:pt idx="20">
                  <c:v>4161.8999999999996</c:v>
                </c:pt>
                <c:pt idx="21">
                  <c:v>4110.7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D7-497B-B947-CCFB7B37E469}"/>
            </c:ext>
          </c:extLst>
        </c:ser>
        <c:ser>
          <c:idx val="8"/>
          <c:order val="8"/>
          <c:tx>
            <c:strRef>
              <c:f>'NYSERA GWhr'!$AD$6</c:f>
              <c:strCache>
                <c:ptCount val="1"/>
                <c:pt idx="0">
                  <c:v>Solar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GWhr'!$AD$7:$AD$28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6.5285000000000002</c:v>
                </c:pt>
                <c:pt idx="12">
                  <c:v>53.09</c:v>
                </c:pt>
                <c:pt idx="13">
                  <c:v>51.817999999999998</c:v>
                </c:pt>
                <c:pt idx="14">
                  <c:v>51.029000000000003</c:v>
                </c:pt>
                <c:pt idx="15">
                  <c:v>52.286999999999999</c:v>
                </c:pt>
                <c:pt idx="16">
                  <c:v>53.7</c:v>
                </c:pt>
                <c:pt idx="17">
                  <c:v>47.3</c:v>
                </c:pt>
                <c:pt idx="18">
                  <c:v>48.8</c:v>
                </c:pt>
                <c:pt idx="19">
                  <c:v>52.1</c:v>
                </c:pt>
                <c:pt idx="20">
                  <c:v>48.5</c:v>
                </c:pt>
                <c:pt idx="21">
                  <c:v>49.8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BD7-497B-B947-CCFB7B37E469}"/>
            </c:ext>
          </c:extLst>
        </c:ser>
        <c:ser>
          <c:idx val="9"/>
          <c:order val="9"/>
          <c:tx>
            <c:strRef>
              <c:f>'NYSERA GWhr'!$AE$6</c:f>
              <c:strCache>
                <c:ptCount val="1"/>
                <c:pt idx="0">
                  <c:v>Imports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GWhr'!$AE$7:$AE$28</c:f>
              <c:numCache>
                <c:formatCode>#,##0</c:formatCode>
                <c:ptCount val="22"/>
                <c:pt idx="0">
                  <c:v>15723.487999999988</c:v>
                </c:pt>
                <c:pt idx="1">
                  <c:v>7464.3129999999992</c:v>
                </c:pt>
                <c:pt idx="2">
                  <c:v>12245.464000000004</c:v>
                </c:pt>
                <c:pt idx="3">
                  <c:v>14378.869999999983</c:v>
                </c:pt>
                <c:pt idx="4">
                  <c:v>12732.966289999989</c:v>
                </c:pt>
                <c:pt idx="5">
                  <c:v>14375.790999999988</c:v>
                </c:pt>
                <c:pt idx="6">
                  <c:v>16743.042814667962</c:v>
                </c:pt>
                <c:pt idx="7">
                  <c:v>18904.433591189445</c:v>
                </c:pt>
                <c:pt idx="8">
                  <c:v>23343.744773194096</c:v>
                </c:pt>
                <c:pt idx="9">
                  <c:v>23361.134953636436</c:v>
                </c:pt>
                <c:pt idx="10">
                  <c:v>24912.378025104241</c:v>
                </c:pt>
                <c:pt idx="11">
                  <c:v>24882.850831558913</c:v>
                </c:pt>
                <c:pt idx="12">
                  <c:v>25516.198366432167</c:v>
                </c:pt>
                <c:pt idx="13">
                  <c:v>25901.593916342033</c:v>
                </c:pt>
                <c:pt idx="14">
                  <c:v>20789.060555334501</c:v>
                </c:pt>
                <c:pt idx="15">
                  <c:v>19809.052558570747</c:v>
                </c:pt>
                <c:pt idx="16">
                  <c:v>22357.961993616445</c:v>
                </c:pt>
                <c:pt idx="17">
                  <c:v>24319.065782329184</c:v>
                </c:pt>
                <c:pt idx="18">
                  <c:v>26765.949888579977</c:v>
                </c:pt>
                <c:pt idx="19">
                  <c:v>23128</c:v>
                </c:pt>
                <c:pt idx="20">
                  <c:v>20029</c:v>
                </c:pt>
                <c:pt idx="21">
                  <c:v>27212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BD7-497B-B947-CCFB7B37E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185839"/>
        <c:axId val="1477186255"/>
      </c:scatterChart>
      <c:valAx>
        <c:axId val="1477185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186255"/>
        <c:crosses val="autoZero"/>
        <c:crossBetween val="midCat"/>
      </c:valAx>
      <c:valAx>
        <c:axId val="147718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185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New York State Electric Generating Unit Annual Net Generation (GWh) by Fuel Type 2000-2021 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'NYSERA GWhr'!$U$6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GWhr'!$U$7:$U$28</c:f>
              <c:numCache>
                <c:formatCode>#,##0</c:formatCode>
                <c:ptCount val="22"/>
                <c:pt idx="0">
                  <c:v>153677.86199999999</c:v>
                </c:pt>
                <c:pt idx="1">
                  <c:v>155240.99999999997</c:v>
                </c:pt>
                <c:pt idx="2">
                  <c:v>158507</c:v>
                </c:pt>
                <c:pt idx="3">
                  <c:v>158012</c:v>
                </c:pt>
                <c:pt idx="4">
                  <c:v>160210.99999999997</c:v>
                </c:pt>
                <c:pt idx="5">
                  <c:v>167208</c:v>
                </c:pt>
                <c:pt idx="6">
                  <c:v>165194.404814668</c:v>
                </c:pt>
                <c:pt idx="7">
                  <c:v>169381.30559118945</c:v>
                </c:pt>
                <c:pt idx="8">
                  <c:v>168300.3460831941</c:v>
                </c:pt>
                <c:pt idx="9">
                  <c:v>160157.77803363645</c:v>
                </c:pt>
                <c:pt idx="10">
                  <c:v>164150.43392510424</c:v>
                </c:pt>
                <c:pt idx="11">
                  <c:v>164963.80887055886</c:v>
                </c:pt>
                <c:pt idx="12">
                  <c:v>164812.62978443215</c:v>
                </c:pt>
                <c:pt idx="13">
                  <c:v>166441.448951342</c:v>
                </c:pt>
                <c:pt idx="14">
                  <c:v>161975.67160233451</c:v>
                </c:pt>
                <c:pt idx="15">
                  <c:v>162154.99046557077</c:v>
                </c:pt>
                <c:pt idx="16">
                  <c:v>159889.46199361645</c:v>
                </c:pt>
                <c:pt idx="17">
                  <c:v>155501.56578232918</c:v>
                </c:pt>
                <c:pt idx="18">
                  <c:v>162351.14988857997</c:v>
                </c:pt>
                <c:pt idx="19">
                  <c:v>157664.40000000002</c:v>
                </c:pt>
                <c:pt idx="20">
                  <c:v>151490.6</c:v>
                </c:pt>
                <c:pt idx="21">
                  <c:v>153978.1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27-49F5-9A4E-C0F6E42C496A}"/>
            </c:ext>
          </c:extLst>
        </c:ser>
        <c:ser>
          <c:idx val="1"/>
          <c:order val="1"/>
          <c:tx>
            <c:strRef>
              <c:f>'NYSERA GWhr'!$V$6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GWhr'!$V$7:$V$28</c:f>
              <c:numCache>
                <c:formatCode>#,##0</c:formatCode>
                <c:ptCount val="22"/>
                <c:pt idx="0">
                  <c:v>25009.580999999998</c:v>
                </c:pt>
                <c:pt idx="1">
                  <c:v>23431.921999999999</c:v>
                </c:pt>
                <c:pt idx="2">
                  <c:v>23239.112000000001</c:v>
                </c:pt>
                <c:pt idx="3">
                  <c:v>23581.066999999999</c:v>
                </c:pt>
                <c:pt idx="4">
                  <c:v>22852.704000000002</c:v>
                </c:pt>
                <c:pt idx="5">
                  <c:v>20597.64</c:v>
                </c:pt>
                <c:pt idx="6">
                  <c:v>20967.84</c:v>
                </c:pt>
                <c:pt idx="7">
                  <c:v>21405.542000000001</c:v>
                </c:pt>
                <c:pt idx="8">
                  <c:v>19154.125</c:v>
                </c:pt>
                <c:pt idx="9">
                  <c:v>12758.873</c:v>
                </c:pt>
                <c:pt idx="10">
                  <c:v>13582.766</c:v>
                </c:pt>
                <c:pt idx="11">
                  <c:v>9426.1601899999987</c:v>
                </c:pt>
                <c:pt idx="12">
                  <c:v>4551.0390800000005</c:v>
                </c:pt>
                <c:pt idx="13">
                  <c:v>4697.1049999999996</c:v>
                </c:pt>
                <c:pt idx="14">
                  <c:v>4325.4415010000002</c:v>
                </c:pt>
                <c:pt idx="15">
                  <c:v>2046.1764499999999</c:v>
                </c:pt>
                <c:pt idx="16">
                  <c:v>1492.8</c:v>
                </c:pt>
                <c:pt idx="17">
                  <c:v>567.4</c:v>
                </c:pt>
                <c:pt idx="18">
                  <c:v>692</c:v>
                </c:pt>
                <c:pt idx="19">
                  <c:v>425.6</c:v>
                </c:pt>
                <c:pt idx="20">
                  <c:v>145.9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27-49F5-9A4E-C0F6E42C496A}"/>
            </c:ext>
          </c:extLst>
        </c:ser>
        <c:ser>
          <c:idx val="2"/>
          <c:order val="2"/>
          <c:tx>
            <c:strRef>
              <c:f>'NYSERA GWhr'!$W$6</c:f>
              <c:strCache>
                <c:ptCount val="1"/>
                <c:pt idx="0">
                  <c:v>Oil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GWhr'!$W$7:$W$28</c:f>
              <c:numCache>
                <c:formatCode>#,##0</c:formatCode>
                <c:ptCount val="22"/>
                <c:pt idx="0">
                  <c:v>14945.179</c:v>
                </c:pt>
                <c:pt idx="1">
                  <c:v>17458.367420642426</c:v>
                </c:pt>
                <c:pt idx="2">
                  <c:v>12651.633555235298</c:v>
                </c:pt>
                <c:pt idx="3">
                  <c:v>20829.997414876616</c:v>
                </c:pt>
                <c:pt idx="4">
                  <c:v>23353.44138391707</c:v>
                </c:pt>
                <c:pt idx="5">
                  <c:v>25619.325888818301</c:v>
                </c:pt>
                <c:pt idx="6">
                  <c:v>7440.7579267814845</c:v>
                </c:pt>
                <c:pt idx="7">
                  <c:v>8780.3749698952633</c:v>
                </c:pt>
                <c:pt idx="8">
                  <c:v>4000.5528381295258</c:v>
                </c:pt>
                <c:pt idx="9">
                  <c:v>2828.6779482304792</c:v>
                </c:pt>
                <c:pt idx="10">
                  <c:v>2093.5710306862047</c:v>
                </c:pt>
                <c:pt idx="11">
                  <c:v>1234.1628127880902</c:v>
                </c:pt>
                <c:pt idx="12">
                  <c:v>605.75930606717657</c:v>
                </c:pt>
                <c:pt idx="13">
                  <c:v>1057.1313760706944</c:v>
                </c:pt>
                <c:pt idx="14">
                  <c:v>2259.3447085107105</c:v>
                </c:pt>
                <c:pt idx="15">
                  <c:v>1991.876528447496</c:v>
                </c:pt>
                <c:pt idx="16">
                  <c:v>675.83055292152585</c:v>
                </c:pt>
                <c:pt idx="17">
                  <c:v>635.81677397294948</c:v>
                </c:pt>
                <c:pt idx="18">
                  <c:v>1677.8257123853191</c:v>
                </c:pt>
                <c:pt idx="19">
                  <c:v>104</c:v>
                </c:pt>
                <c:pt idx="20">
                  <c:v>209.2</c:v>
                </c:pt>
                <c:pt idx="21">
                  <c:v>154.1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D27-49F5-9A4E-C0F6E42C496A}"/>
            </c:ext>
          </c:extLst>
        </c:ser>
        <c:ser>
          <c:idx val="3"/>
          <c:order val="3"/>
          <c:tx>
            <c:strRef>
              <c:f>'NYSERA GWhr'!$X$6</c:f>
              <c:strCache>
                <c:ptCount val="1"/>
                <c:pt idx="0">
                  <c:v>Natural Gas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GWhr'!$X$7:$X$28</c:f>
              <c:numCache>
                <c:formatCode>#,##0</c:formatCode>
                <c:ptCount val="22"/>
                <c:pt idx="0">
                  <c:v>39728.709000000003</c:v>
                </c:pt>
                <c:pt idx="1">
                  <c:v>40914.873579357583</c:v>
                </c:pt>
                <c:pt idx="2">
                  <c:v>42176.673444764703</c:v>
                </c:pt>
                <c:pt idx="3">
                  <c:v>30401.659585123391</c:v>
                </c:pt>
                <c:pt idx="4">
                  <c:v>30059.133616082941</c:v>
                </c:pt>
                <c:pt idx="5">
                  <c:v>34005.101111181699</c:v>
                </c:pt>
                <c:pt idx="6">
                  <c:v>46253.49407321852</c:v>
                </c:pt>
                <c:pt idx="7">
                  <c:v>48892.625030104733</c:v>
                </c:pt>
                <c:pt idx="8">
                  <c:v>46845.052161870473</c:v>
                </c:pt>
                <c:pt idx="9">
                  <c:v>44625.139511769521</c:v>
                </c:pt>
                <c:pt idx="10">
                  <c:v>51077.029869313796</c:v>
                </c:pt>
                <c:pt idx="11">
                  <c:v>52713.205185211904</c:v>
                </c:pt>
                <c:pt idx="12">
                  <c:v>62072.734956932814</c:v>
                </c:pt>
                <c:pt idx="13">
                  <c:v>57039.160102929287</c:v>
                </c:pt>
                <c:pt idx="14">
                  <c:v>57506.936074489277</c:v>
                </c:pt>
                <c:pt idx="15">
                  <c:v>59919.05812555251</c:v>
                </c:pt>
                <c:pt idx="16">
                  <c:v>59697.569447078473</c:v>
                </c:pt>
                <c:pt idx="17">
                  <c:v>50270.183226027046</c:v>
                </c:pt>
                <c:pt idx="18">
                  <c:v>53593.074287614676</c:v>
                </c:pt>
                <c:pt idx="19">
                  <c:v>51341.4</c:v>
                </c:pt>
                <c:pt idx="20">
                  <c:v>56069.700000000004</c:v>
                </c:pt>
                <c:pt idx="21">
                  <c:v>59466.600000000006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D27-49F5-9A4E-C0F6E42C496A}"/>
            </c:ext>
          </c:extLst>
        </c:ser>
        <c:ser>
          <c:idx val="4"/>
          <c:order val="4"/>
          <c:tx>
            <c:strRef>
              <c:f>'NYSERA GWhr'!$Y$6</c:f>
              <c:strCache>
                <c:ptCount val="1"/>
                <c:pt idx="0">
                  <c:v>Other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GWhr'!$Y$7:$Y$28</c:f>
              <c:numCache>
                <c:formatCode>#,##0</c:formatCode>
                <c:ptCount val="22"/>
                <c:pt idx="1">
                  <c:v>2404</c:v>
                </c:pt>
                <c:pt idx="2">
                  <c:v>2282</c:v>
                </c:pt>
                <c:pt idx="3">
                  <c:v>2302</c:v>
                </c:pt>
                <c:pt idx="4">
                  <c:v>2303</c:v>
                </c:pt>
                <c:pt idx="5">
                  <c:v>2481</c:v>
                </c:pt>
                <c:pt idx="6">
                  <c:v>2488</c:v>
                </c:pt>
                <c:pt idx="7">
                  <c:v>2555</c:v>
                </c:pt>
                <c:pt idx="8">
                  <c:v>2996</c:v>
                </c:pt>
                <c:pt idx="9">
                  <c:v>2888</c:v>
                </c:pt>
                <c:pt idx="10">
                  <c:v>2916</c:v>
                </c:pt>
                <c:pt idx="11">
                  <c:v>2823.163642</c:v>
                </c:pt>
                <c:pt idx="12">
                  <c:v>2944.6900900000001</c:v>
                </c:pt>
                <c:pt idx="13">
                  <c:v>3002.9255560000001</c:v>
                </c:pt>
                <c:pt idx="14">
                  <c:v>3194.0265330000002</c:v>
                </c:pt>
                <c:pt idx="15">
                  <c:v>3028.1876969999998</c:v>
                </c:pt>
                <c:pt idx="16">
                  <c:v>2881.1000000000004</c:v>
                </c:pt>
                <c:pt idx="17">
                  <c:v>2918.5</c:v>
                </c:pt>
                <c:pt idx="18">
                  <c:v>2729.4</c:v>
                </c:pt>
                <c:pt idx="19">
                  <c:v>2647.7999999999997</c:v>
                </c:pt>
                <c:pt idx="20">
                  <c:v>2232.6</c:v>
                </c:pt>
                <c:pt idx="21">
                  <c:v>2485.1999999999998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D27-49F5-9A4E-C0F6E42C496A}"/>
            </c:ext>
          </c:extLst>
        </c:ser>
        <c:ser>
          <c:idx val="5"/>
          <c:order val="5"/>
          <c:tx>
            <c:strRef>
              <c:f>'NYSERA GWhr'!$Z$6</c:f>
              <c:strCache>
                <c:ptCount val="1"/>
                <c:pt idx="0">
                  <c:v>Hydro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GWhr'!$Z$7:$Z$28</c:f>
              <c:numCache>
                <c:formatCode>#,##0</c:formatCode>
                <c:ptCount val="22"/>
                <c:pt idx="0">
                  <c:v>24909.572</c:v>
                </c:pt>
                <c:pt idx="1">
                  <c:v>21486</c:v>
                </c:pt>
                <c:pt idx="2">
                  <c:v>24612</c:v>
                </c:pt>
                <c:pt idx="3">
                  <c:v>24207</c:v>
                </c:pt>
                <c:pt idx="4">
                  <c:v>26745</c:v>
                </c:pt>
                <c:pt idx="5">
                  <c:v>26204</c:v>
                </c:pt>
                <c:pt idx="6">
                  <c:v>27110</c:v>
                </c:pt>
                <c:pt idx="7">
                  <c:v>24184</c:v>
                </c:pt>
                <c:pt idx="8">
                  <c:v>25711</c:v>
                </c:pt>
                <c:pt idx="9">
                  <c:v>26420</c:v>
                </c:pt>
                <c:pt idx="10">
                  <c:v>24214</c:v>
                </c:pt>
                <c:pt idx="11">
                  <c:v>27634.075709000001</c:v>
                </c:pt>
                <c:pt idx="12">
                  <c:v>24572.279575000004</c:v>
                </c:pt>
                <c:pt idx="13">
                  <c:v>25631</c:v>
                </c:pt>
                <c:pt idx="14">
                  <c:v>25974.003735000002</c:v>
                </c:pt>
                <c:pt idx="15">
                  <c:v>25879.447899999992</c:v>
                </c:pt>
                <c:pt idx="16">
                  <c:v>26314.1</c:v>
                </c:pt>
                <c:pt idx="17">
                  <c:v>29554.2</c:v>
                </c:pt>
                <c:pt idx="18">
                  <c:v>29045</c:v>
                </c:pt>
                <c:pt idx="19">
                  <c:v>30140.9</c:v>
                </c:pt>
                <c:pt idx="20">
                  <c:v>29521.3</c:v>
                </c:pt>
                <c:pt idx="21">
                  <c:v>28674.7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D27-49F5-9A4E-C0F6E42C496A}"/>
            </c:ext>
          </c:extLst>
        </c:ser>
        <c:ser>
          <c:idx val="6"/>
          <c:order val="6"/>
          <c:tx>
            <c:strRef>
              <c:f>'NYSERA GWhr'!$AA$6</c:f>
              <c:strCache>
                <c:ptCount val="1"/>
                <c:pt idx="0">
                  <c:v>PS Hydro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GWhr'!$AA$7:$AA$28</c:f>
              <c:numCache>
                <c:formatCode>#,##0</c:formatCode>
                <c:ptCount val="22"/>
                <c:pt idx="0">
                  <c:v>1843</c:v>
                </c:pt>
                <c:pt idx="1">
                  <c:v>1666</c:v>
                </c:pt>
                <c:pt idx="2">
                  <c:v>1601</c:v>
                </c:pt>
                <c:pt idx="3">
                  <c:v>1591</c:v>
                </c:pt>
                <c:pt idx="4">
                  <c:v>1408</c:v>
                </c:pt>
                <c:pt idx="5">
                  <c:v>1379</c:v>
                </c:pt>
                <c:pt idx="6">
                  <c:v>1312</c:v>
                </c:pt>
                <c:pt idx="7">
                  <c:v>1373</c:v>
                </c:pt>
                <c:pt idx="8">
                  <c:v>1790</c:v>
                </c:pt>
                <c:pt idx="9">
                  <c:v>1525</c:v>
                </c:pt>
                <c:pt idx="10">
                  <c:v>889</c:v>
                </c:pt>
                <c:pt idx="11">
                  <c:v>720.58399999999995</c:v>
                </c:pt>
                <c:pt idx="12">
                  <c:v>730.69799999999998</c:v>
                </c:pt>
                <c:pt idx="13">
                  <c:v>765.61099999999999</c:v>
                </c:pt>
                <c:pt idx="14">
                  <c:v>849.36800000000005</c:v>
                </c:pt>
                <c:pt idx="15">
                  <c:v>824.846</c:v>
                </c:pt>
                <c:pt idx="16">
                  <c:v>835.6</c:v>
                </c:pt>
                <c:pt idx="17">
                  <c:v>795.3</c:v>
                </c:pt>
                <c:pt idx="18">
                  <c:v>811</c:v>
                </c:pt>
                <c:pt idx="19">
                  <c:v>583.1</c:v>
                </c:pt>
                <c:pt idx="20">
                  <c:v>635.5</c:v>
                </c:pt>
                <c:pt idx="21">
                  <c:v>711.9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D27-49F5-9A4E-C0F6E42C496A}"/>
            </c:ext>
          </c:extLst>
        </c:ser>
        <c:ser>
          <c:idx val="7"/>
          <c:order val="7"/>
          <c:tx>
            <c:strRef>
              <c:f>'NYSERA GWhr'!$AB$6</c:f>
              <c:strCache>
                <c:ptCount val="1"/>
                <c:pt idx="0">
                  <c:v>Nuclear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GWhr'!$AB$7:$AB$28</c:f>
              <c:numCache>
                <c:formatCode>#,##0</c:formatCode>
                <c:ptCount val="22"/>
                <c:pt idx="0">
                  <c:v>31507.988000000001</c:v>
                </c:pt>
                <c:pt idx="1">
                  <c:v>40394.985000000001</c:v>
                </c:pt>
                <c:pt idx="2">
                  <c:v>39617.491000000002</c:v>
                </c:pt>
                <c:pt idx="3">
                  <c:v>40679.205000000002</c:v>
                </c:pt>
                <c:pt idx="4">
                  <c:v>40640.305</c:v>
                </c:pt>
                <c:pt idx="5">
                  <c:v>42443.152000000002</c:v>
                </c:pt>
                <c:pt idx="6">
                  <c:v>42223.898999999998</c:v>
                </c:pt>
                <c:pt idx="7">
                  <c:v>42452.853999999999</c:v>
                </c:pt>
                <c:pt idx="8">
                  <c:v>43209.171000000002</c:v>
                </c:pt>
                <c:pt idx="9">
                  <c:v>43484.614000000001</c:v>
                </c:pt>
                <c:pt idx="10">
                  <c:v>41869.535000000003</c:v>
                </c:pt>
                <c:pt idx="11">
                  <c:v>42695.008999999998</c:v>
                </c:pt>
                <c:pt idx="12">
                  <c:v>40774.559999999998</c:v>
                </c:pt>
                <c:pt idx="13">
                  <c:v>44755.606</c:v>
                </c:pt>
                <c:pt idx="14">
                  <c:v>43040.664290000001</c:v>
                </c:pt>
                <c:pt idx="15">
                  <c:v>44620.212080000005</c:v>
                </c:pt>
                <c:pt idx="16">
                  <c:v>41637.5</c:v>
                </c:pt>
                <c:pt idx="17">
                  <c:v>42174.6</c:v>
                </c:pt>
                <c:pt idx="18">
                  <c:v>43003</c:v>
                </c:pt>
                <c:pt idx="19">
                  <c:v>44787.899999999994</c:v>
                </c:pt>
                <c:pt idx="20">
                  <c:v>38437</c:v>
                </c:pt>
                <c:pt idx="21">
                  <c:v>31113.1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D27-49F5-9A4E-C0F6E42C496A}"/>
            </c:ext>
          </c:extLst>
        </c:ser>
        <c:ser>
          <c:idx val="8"/>
          <c:order val="8"/>
          <c:tx>
            <c:strRef>
              <c:f>'NYSERA GWhr'!$AC$6</c:f>
              <c:strCache>
                <c:ptCount val="1"/>
                <c:pt idx="0">
                  <c:v>Wind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GWhr'!$AC$7:$AC$28</c:f>
              <c:numCache>
                <c:formatCode>#,##0</c:formatCode>
                <c:ptCount val="22"/>
                <c:pt idx="0">
                  <c:v>10.345000000000001</c:v>
                </c:pt>
                <c:pt idx="1">
                  <c:v>20.539000000000001</c:v>
                </c:pt>
                <c:pt idx="2">
                  <c:v>81.626000000000005</c:v>
                </c:pt>
                <c:pt idx="3">
                  <c:v>41.201000000000001</c:v>
                </c:pt>
                <c:pt idx="4">
                  <c:v>116.44971</c:v>
                </c:pt>
                <c:pt idx="5">
                  <c:v>102.99</c:v>
                </c:pt>
                <c:pt idx="6">
                  <c:v>655.37099999999998</c:v>
                </c:pt>
                <c:pt idx="7">
                  <c:v>833.476</c:v>
                </c:pt>
                <c:pt idx="8">
                  <c:v>1250.7003099999999</c:v>
                </c:pt>
                <c:pt idx="9">
                  <c:v>2266.33862</c:v>
                </c:pt>
                <c:pt idx="10">
                  <c:v>2596.154</c:v>
                </c:pt>
                <c:pt idx="11">
                  <c:v>2828.069</c:v>
                </c:pt>
                <c:pt idx="12">
                  <c:v>2991.58041</c:v>
                </c:pt>
                <c:pt idx="13">
                  <c:v>3539.498</c:v>
                </c:pt>
                <c:pt idx="14">
                  <c:v>3985.7972049999994</c:v>
                </c:pt>
                <c:pt idx="15">
                  <c:v>3983.8461260000008</c:v>
                </c:pt>
                <c:pt idx="16">
                  <c:v>3943.3</c:v>
                </c:pt>
                <c:pt idx="17">
                  <c:v>4219.2</c:v>
                </c:pt>
                <c:pt idx="18">
                  <c:v>3985.1</c:v>
                </c:pt>
                <c:pt idx="19">
                  <c:v>4453.6000000000004</c:v>
                </c:pt>
                <c:pt idx="20">
                  <c:v>4161.8999999999996</c:v>
                </c:pt>
                <c:pt idx="21">
                  <c:v>4110.7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D27-49F5-9A4E-C0F6E42C496A}"/>
            </c:ext>
          </c:extLst>
        </c:ser>
        <c:ser>
          <c:idx val="9"/>
          <c:order val="9"/>
          <c:tx>
            <c:strRef>
              <c:f>'NYSERA GWhr'!$AD$6</c:f>
              <c:strCache>
                <c:ptCount val="1"/>
                <c:pt idx="0">
                  <c:v>Solar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GWhr'!$AD$7:$AD$28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6.5285000000000002</c:v>
                </c:pt>
                <c:pt idx="12">
                  <c:v>53.09</c:v>
                </c:pt>
                <c:pt idx="13">
                  <c:v>51.817999999999998</c:v>
                </c:pt>
                <c:pt idx="14">
                  <c:v>51.029000000000003</c:v>
                </c:pt>
                <c:pt idx="15">
                  <c:v>52.286999999999999</c:v>
                </c:pt>
                <c:pt idx="16">
                  <c:v>53.7</c:v>
                </c:pt>
                <c:pt idx="17">
                  <c:v>47.3</c:v>
                </c:pt>
                <c:pt idx="18">
                  <c:v>48.8</c:v>
                </c:pt>
                <c:pt idx="19">
                  <c:v>52.1</c:v>
                </c:pt>
                <c:pt idx="20">
                  <c:v>48.5</c:v>
                </c:pt>
                <c:pt idx="21">
                  <c:v>49.8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D27-49F5-9A4E-C0F6E42C496A}"/>
            </c:ext>
          </c:extLst>
        </c:ser>
        <c:ser>
          <c:idx val="10"/>
          <c:order val="10"/>
          <c:tx>
            <c:strRef>
              <c:f>'NYSERA GWhr'!$AE$6</c:f>
              <c:strCache>
                <c:ptCount val="1"/>
                <c:pt idx="0">
                  <c:v>Imports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'NYSERA GWhr'!$T$7:$T$28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xVal>
          <c:yVal>
            <c:numRef>
              <c:f>'NYSERA GWhr'!$AE$7:$AE$28</c:f>
              <c:numCache>
                <c:formatCode>#,##0</c:formatCode>
                <c:ptCount val="22"/>
                <c:pt idx="0">
                  <c:v>15723.487999999988</c:v>
                </c:pt>
                <c:pt idx="1">
                  <c:v>7464.3129999999992</c:v>
                </c:pt>
                <c:pt idx="2">
                  <c:v>12245.464000000004</c:v>
                </c:pt>
                <c:pt idx="3">
                  <c:v>14378.869999999983</c:v>
                </c:pt>
                <c:pt idx="4">
                  <c:v>12732.966289999989</c:v>
                </c:pt>
                <c:pt idx="5">
                  <c:v>14375.790999999988</c:v>
                </c:pt>
                <c:pt idx="6">
                  <c:v>16743.042814667962</c:v>
                </c:pt>
                <c:pt idx="7">
                  <c:v>18904.433591189445</c:v>
                </c:pt>
                <c:pt idx="8">
                  <c:v>23343.744773194096</c:v>
                </c:pt>
                <c:pt idx="9">
                  <c:v>23361.134953636436</c:v>
                </c:pt>
                <c:pt idx="10">
                  <c:v>24912.378025104241</c:v>
                </c:pt>
                <c:pt idx="11">
                  <c:v>24882.850831558913</c:v>
                </c:pt>
                <c:pt idx="12">
                  <c:v>25516.198366432167</c:v>
                </c:pt>
                <c:pt idx="13">
                  <c:v>25901.593916342033</c:v>
                </c:pt>
                <c:pt idx="14">
                  <c:v>20789.060555334501</c:v>
                </c:pt>
                <c:pt idx="15">
                  <c:v>19809.052558570747</c:v>
                </c:pt>
                <c:pt idx="16">
                  <c:v>22357.961993616445</c:v>
                </c:pt>
                <c:pt idx="17">
                  <c:v>24319.065782329184</c:v>
                </c:pt>
                <c:pt idx="18">
                  <c:v>26765.949888579977</c:v>
                </c:pt>
                <c:pt idx="19">
                  <c:v>23128</c:v>
                </c:pt>
                <c:pt idx="20">
                  <c:v>20029</c:v>
                </c:pt>
                <c:pt idx="21">
                  <c:v>27212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D27-49F5-9A4E-C0F6E42C4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002751"/>
        <c:axId val="1388003167"/>
      </c:scatterChart>
      <c:valAx>
        <c:axId val="1388002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003167"/>
        <c:crosses val="autoZero"/>
        <c:crossBetween val="midCat"/>
      </c:valAx>
      <c:valAx>
        <c:axId val="138800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002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</xdr:row>
      <xdr:rowOff>30480</xdr:rowOff>
    </xdr:from>
    <xdr:to>
      <xdr:col>15</xdr:col>
      <xdr:colOff>205740</xdr:colOff>
      <xdr:row>23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416226-CC76-4D9B-3FF1-CFB03CE8E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</xdr:colOff>
      <xdr:row>24</xdr:row>
      <xdr:rowOff>0</xdr:rowOff>
    </xdr:from>
    <xdr:to>
      <xdr:col>15</xdr:col>
      <xdr:colOff>190500</xdr:colOff>
      <xdr:row>50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5E3861-51AE-E62C-5976-5C34854CE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22860</xdr:colOff>
      <xdr:row>51</xdr:row>
      <xdr:rowOff>22860</xdr:rowOff>
    </xdr:from>
    <xdr:to>
      <xdr:col>15</xdr:col>
      <xdr:colOff>182880</xdr:colOff>
      <xdr:row>73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6546B9B-61EB-E625-20D7-1F653734D1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yserda.ny.gov/About/Publications/Energy-Analysis-Technical-Reports-and-Studies/Patterns-and-Trend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govt.westlaw.com/nycrr/Document/Ibaffced6ebf311dda772d657453a78af?viewType=FullText&amp;originationContext=documenttoc&amp;transitionType=CategoryPageItem&amp;contextData=(sc.Default)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yserda.ny.gov/About/Publications/Program-Planning-Status-Reports/RGGI-Repor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yserda.ny.gov/About/Publications/Program-Planning-Status-Reports/RGGI-Reports" TargetMode="Externa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yserda.ny.gov/-/media/Project/Nyserda/Files/Publications/Energy-Analysis/RGGI/EEA-RGGI-2022-H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yserda.ny.gov/About/Publications/Energy-Analysis-Technical-Reports-and-Studies/Patterns-and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F753-995B-41F3-A9C7-0DF380024A2B}">
  <dimension ref="A1:T20"/>
  <sheetViews>
    <sheetView tabSelected="1" workbookViewId="0">
      <selection activeCell="B10" sqref="B10:T10"/>
    </sheetView>
  </sheetViews>
  <sheetFormatPr defaultRowHeight="14.4" x14ac:dyDescent="0.3"/>
  <cols>
    <col min="1" max="1" width="19" bestFit="1" customWidth="1"/>
  </cols>
  <sheetData>
    <row r="1" spans="1:20" x14ac:dyDescent="0.3">
      <c r="A1" s="9" t="s">
        <v>179</v>
      </c>
    </row>
    <row r="2" spans="1:20" ht="15" thickBot="1" x14ac:dyDescent="0.35"/>
    <row r="3" spans="1:20" ht="15" thickBot="1" x14ac:dyDescent="0.35">
      <c r="A3" s="135" t="s">
        <v>180</v>
      </c>
      <c r="B3" s="146" t="s">
        <v>181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</row>
    <row r="4" spans="1:20" x14ac:dyDescent="0.3">
      <c r="A4" s="140" t="s">
        <v>182</v>
      </c>
      <c r="B4" s="145" t="s">
        <v>19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20" x14ac:dyDescent="0.3">
      <c r="A5" s="122" t="s">
        <v>184</v>
      </c>
      <c r="B5" s="144" t="s">
        <v>183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20" x14ac:dyDescent="0.3">
      <c r="A6" s="122" t="s">
        <v>185</v>
      </c>
      <c r="B6" s="144" t="s">
        <v>71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</row>
    <row r="7" spans="1:20" ht="28.2" customHeight="1" x14ac:dyDescent="0.3">
      <c r="A7" s="141" t="s">
        <v>186</v>
      </c>
      <c r="B7" s="144" t="s">
        <v>188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</row>
    <row r="8" spans="1:20" x14ac:dyDescent="0.3">
      <c r="A8" s="122" t="s">
        <v>187</v>
      </c>
      <c r="B8" s="144" t="s">
        <v>143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0" x14ac:dyDescent="0.3">
      <c r="A9" s="122" t="s">
        <v>199</v>
      </c>
      <c r="B9" s="144" t="s">
        <v>200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</row>
    <row r="10" spans="1:20" x14ac:dyDescent="0.3">
      <c r="A10" s="122" t="s">
        <v>191</v>
      </c>
      <c r="B10" s="144" t="s">
        <v>192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</row>
    <row r="11" spans="1:20" x14ac:dyDescent="0.3">
      <c r="A11" s="122" t="s">
        <v>193</v>
      </c>
      <c r="B11" s="144" t="s">
        <v>195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</row>
    <row r="12" spans="1:20" x14ac:dyDescent="0.3">
      <c r="A12" s="122" t="s">
        <v>194</v>
      </c>
      <c r="B12" s="144" t="s">
        <v>195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</row>
    <row r="13" spans="1:20" x14ac:dyDescent="0.3">
      <c r="A13" s="122" t="s">
        <v>177</v>
      </c>
      <c r="B13" s="144" t="s">
        <v>197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</row>
    <row r="14" spans="1:20" x14ac:dyDescent="0.3">
      <c r="A14" s="122" t="s">
        <v>196</v>
      </c>
      <c r="B14" s="144" t="s">
        <v>198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</row>
    <row r="15" spans="1:20" x14ac:dyDescent="0.3">
      <c r="A15" s="122" t="s">
        <v>189</v>
      </c>
      <c r="B15" s="144" t="s">
        <v>190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</row>
    <row r="16" spans="1:20" x14ac:dyDescent="0.3">
      <c r="A16" s="122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</row>
    <row r="17" spans="1:20" x14ac:dyDescent="0.3">
      <c r="A17" s="122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x14ac:dyDescent="0.3">
      <c r="A18" s="122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</row>
    <row r="19" spans="1:20" x14ac:dyDescent="0.3">
      <c r="A19" s="122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</row>
    <row r="20" spans="1:20" x14ac:dyDescent="0.3">
      <c r="A20" s="122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</row>
  </sheetData>
  <mergeCells count="18">
    <mergeCell ref="B9:T9"/>
    <mergeCell ref="B8:T8"/>
    <mergeCell ref="B4:T4"/>
    <mergeCell ref="B3:T3"/>
    <mergeCell ref="B5:T5"/>
    <mergeCell ref="B6:T6"/>
    <mergeCell ref="B7:T7"/>
    <mergeCell ref="B19:T19"/>
    <mergeCell ref="B20:T20"/>
    <mergeCell ref="B11:T11"/>
    <mergeCell ref="B12:T12"/>
    <mergeCell ref="B13:T13"/>
    <mergeCell ref="B14:T14"/>
    <mergeCell ref="B10:T10"/>
    <mergeCell ref="B15:T15"/>
    <mergeCell ref="B16:T16"/>
    <mergeCell ref="B17:T17"/>
    <mergeCell ref="B18:T18"/>
  </mergeCells>
  <phoneticPr fontId="13" type="noConversion"/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CC47-5749-4267-A325-100AE44D0582}">
  <dimension ref="A1:AP43"/>
  <sheetViews>
    <sheetView showGridLines="0" workbookViewId="0">
      <selection activeCell="C3" sqref="C3"/>
    </sheetView>
  </sheetViews>
  <sheetFormatPr defaultRowHeight="14.4" x14ac:dyDescent="0.3"/>
  <cols>
    <col min="1" max="1" width="4.109375" customWidth="1"/>
    <col min="2" max="2" width="5" style="45" bestFit="1" customWidth="1"/>
    <col min="3" max="3" width="6.44140625" bestFit="1" customWidth="1"/>
    <col min="4" max="4" width="10.6640625" bestFit="1" customWidth="1"/>
    <col min="5" max="5" width="9.77734375" bestFit="1" customWidth="1"/>
    <col min="6" max="6" width="11.44140625" bestFit="1" customWidth="1"/>
    <col min="7" max="7" width="8.6640625" bestFit="1" customWidth="1"/>
    <col min="8" max="8" width="7.44140625" bestFit="1" customWidth="1"/>
    <col min="9" max="9" width="5.77734375" bestFit="1" customWidth="1"/>
    <col min="10" max="10" width="6.21875" bestFit="1" customWidth="1"/>
    <col min="11" max="11" width="5.109375" bestFit="1" customWidth="1"/>
    <col min="12" max="12" width="6.109375" bestFit="1" customWidth="1"/>
    <col min="13" max="13" width="5.44140625" bestFit="1" customWidth="1"/>
    <col min="14" max="14" width="5.21875" bestFit="1" customWidth="1"/>
    <col min="15" max="15" width="17.6640625" bestFit="1" customWidth="1"/>
    <col min="16" max="16" width="11" bestFit="1" customWidth="1"/>
    <col min="17" max="17" width="15.109375" bestFit="1" customWidth="1"/>
    <col min="18" max="18" width="21.5546875" bestFit="1" customWidth="1"/>
    <col min="19" max="19" width="6" customWidth="1"/>
    <col min="20" max="20" width="5" bestFit="1" customWidth="1"/>
    <col min="21" max="21" width="7.5546875" bestFit="1" customWidth="1"/>
    <col min="22" max="23" width="6.44140625" bestFit="1" customWidth="1"/>
    <col min="24" max="24" width="10.6640625" bestFit="1" customWidth="1"/>
    <col min="25" max="25" width="5.77734375" bestFit="1" customWidth="1"/>
    <col min="26" max="26" width="6.44140625" bestFit="1" customWidth="1"/>
    <col min="27" max="27" width="8.6640625" bestFit="1" customWidth="1"/>
    <col min="28" max="28" width="7.44140625" bestFit="1" customWidth="1"/>
    <col min="29" max="29" width="5.44140625" bestFit="1" customWidth="1"/>
    <col min="30" max="30" width="5.21875" bestFit="1" customWidth="1"/>
    <col min="31" max="31" width="7.5546875" bestFit="1" customWidth="1"/>
  </cols>
  <sheetData>
    <row r="1" spans="1:42" x14ac:dyDescent="0.3">
      <c r="A1" s="9" t="s">
        <v>67</v>
      </c>
      <c r="B1"/>
      <c r="F1" s="71" t="s">
        <v>68</v>
      </c>
    </row>
    <row r="5" spans="1:42" ht="15.6" x14ac:dyDescent="0.3">
      <c r="B5" s="52" t="s">
        <v>47</v>
      </c>
    </row>
    <row r="6" spans="1:42" s="9" customFormat="1" x14ac:dyDescent="0.3">
      <c r="C6" s="46" t="s">
        <v>26</v>
      </c>
      <c r="D6" s="46" t="s">
        <v>28</v>
      </c>
      <c r="E6" s="46" t="s">
        <v>37</v>
      </c>
      <c r="F6" s="46" t="s">
        <v>38</v>
      </c>
      <c r="G6" s="46" t="s">
        <v>39</v>
      </c>
      <c r="H6" s="46" t="s">
        <v>32</v>
      </c>
      <c r="I6" s="46" t="s">
        <v>29</v>
      </c>
      <c r="J6" s="46" t="s">
        <v>40</v>
      </c>
      <c r="K6" s="46" t="s">
        <v>41</v>
      </c>
      <c r="L6" s="46" t="s">
        <v>42</v>
      </c>
      <c r="M6" s="46" t="s">
        <v>34</v>
      </c>
      <c r="N6" s="46" t="s">
        <v>35</v>
      </c>
      <c r="O6" s="46" t="s">
        <v>43</v>
      </c>
      <c r="P6" s="46" t="s">
        <v>33</v>
      </c>
      <c r="Q6" s="46" t="s">
        <v>44</v>
      </c>
      <c r="R6" s="46" t="s">
        <v>45</v>
      </c>
      <c r="S6"/>
      <c r="T6"/>
      <c r="U6" s="57" t="s">
        <v>10</v>
      </c>
      <c r="V6" s="7" t="s">
        <v>26</v>
      </c>
      <c r="W6" s="7" t="s">
        <v>27</v>
      </c>
      <c r="X6" s="7" t="s">
        <v>28</v>
      </c>
      <c r="Y6" s="7" t="s">
        <v>29</v>
      </c>
      <c r="Z6" s="58" t="s">
        <v>31</v>
      </c>
      <c r="AA6" s="58" t="s">
        <v>39</v>
      </c>
      <c r="AB6" s="58" t="s">
        <v>32</v>
      </c>
      <c r="AC6" s="58" t="s">
        <v>34</v>
      </c>
      <c r="AD6" s="58" t="s">
        <v>35</v>
      </c>
      <c r="AE6" s="58" t="s">
        <v>48</v>
      </c>
    </row>
    <row r="7" spans="1:42" x14ac:dyDescent="0.3">
      <c r="B7" s="7">
        <v>2000</v>
      </c>
      <c r="C7" s="54">
        <v>25009.580999999998</v>
      </c>
      <c r="D7" s="54">
        <v>39728.709000000003</v>
      </c>
      <c r="E7" s="54">
        <v>14945.179</v>
      </c>
      <c r="F7" s="54">
        <v>24909.572</v>
      </c>
      <c r="G7" s="54">
        <v>1843</v>
      </c>
      <c r="H7" s="54">
        <v>31507.988000000001</v>
      </c>
      <c r="I7" s="54">
        <v>2958.1379999999999</v>
      </c>
      <c r="J7" s="54" t="s">
        <v>46</v>
      </c>
      <c r="K7" s="54" t="s">
        <v>46</v>
      </c>
      <c r="L7" s="54" t="s">
        <v>46</v>
      </c>
      <c r="M7" s="54">
        <v>10.345000000000001</v>
      </c>
      <c r="N7" s="54">
        <v>0</v>
      </c>
      <c r="O7" s="54">
        <v>140912.51200000002</v>
      </c>
      <c r="P7" s="54">
        <v>15723.487999999988</v>
      </c>
      <c r="Q7" s="54">
        <v>156636</v>
      </c>
      <c r="R7" s="54">
        <v>156636</v>
      </c>
      <c r="T7" s="7">
        <v>2000</v>
      </c>
      <c r="U7" s="54">
        <f>SUM(V7:AE7)</f>
        <v>153677.86199999999</v>
      </c>
      <c r="V7" s="54">
        <f>C7</f>
        <v>25009.580999999998</v>
      </c>
      <c r="W7" s="54">
        <f>E7</f>
        <v>14945.179</v>
      </c>
      <c r="X7" s="54">
        <f>D7</f>
        <v>39728.709000000003</v>
      </c>
      <c r="Y7" s="54"/>
      <c r="Z7" s="54">
        <f>F7</f>
        <v>24909.572</v>
      </c>
      <c r="AA7" s="54">
        <f>G7</f>
        <v>1843</v>
      </c>
      <c r="AB7" s="54">
        <f>H7</f>
        <v>31507.988000000001</v>
      </c>
      <c r="AC7" s="54">
        <f>M7</f>
        <v>10.345000000000001</v>
      </c>
      <c r="AD7" s="54">
        <f>N7</f>
        <v>0</v>
      </c>
      <c r="AE7" s="54">
        <f>P7</f>
        <v>15723.487999999988</v>
      </c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</row>
    <row r="8" spans="1:42" x14ac:dyDescent="0.3">
      <c r="B8" s="7">
        <v>2001</v>
      </c>
      <c r="C8" s="54">
        <v>23431.921999999999</v>
      </c>
      <c r="D8" s="54">
        <v>40914.873579357583</v>
      </c>
      <c r="E8" s="54">
        <v>17458.367420642426</v>
      </c>
      <c r="F8" s="54">
        <v>21486</v>
      </c>
      <c r="G8" s="54">
        <v>1666</v>
      </c>
      <c r="H8" s="54">
        <v>40394.985000000001</v>
      </c>
      <c r="I8" s="54">
        <v>2404</v>
      </c>
      <c r="J8" s="54">
        <v>1837</v>
      </c>
      <c r="K8" s="54">
        <v>284</v>
      </c>
      <c r="L8" s="54">
        <v>283</v>
      </c>
      <c r="M8" s="54">
        <v>20.539000000000001</v>
      </c>
      <c r="N8" s="54">
        <v>0</v>
      </c>
      <c r="O8" s="54">
        <v>147776.68699999998</v>
      </c>
      <c r="P8" s="54">
        <v>7464.3129999999992</v>
      </c>
      <c r="Q8" s="54">
        <v>155240.99999999997</v>
      </c>
      <c r="R8" s="54">
        <v>155241</v>
      </c>
      <c r="S8" s="50"/>
      <c r="T8" s="7">
        <v>2001</v>
      </c>
      <c r="U8" s="54">
        <f t="shared" ref="U8:U28" si="0">SUM(V8:AE8)</f>
        <v>155240.99999999997</v>
      </c>
      <c r="V8" s="54">
        <f t="shared" ref="V8:V25" si="1">C8</f>
        <v>23431.921999999999</v>
      </c>
      <c r="W8" s="54">
        <f t="shared" ref="W8:W25" si="2">E8</f>
        <v>17458.367420642426</v>
      </c>
      <c r="X8" s="54">
        <f t="shared" ref="X8:X25" si="3">D8</f>
        <v>40914.873579357583</v>
      </c>
      <c r="Y8" s="54">
        <f t="shared" ref="Y8:Y25" si="4">J8+K8+L8</f>
        <v>2404</v>
      </c>
      <c r="Z8" s="54">
        <f t="shared" ref="Z8:Z28" si="5">F8</f>
        <v>21486</v>
      </c>
      <c r="AA8" s="54">
        <f t="shared" ref="AA8:AA28" si="6">G8</f>
        <v>1666</v>
      </c>
      <c r="AB8" s="54">
        <f t="shared" ref="AB8:AB28" si="7">H8</f>
        <v>40394.985000000001</v>
      </c>
      <c r="AC8" s="54">
        <f t="shared" ref="AC8:AC28" si="8">M8</f>
        <v>20.539000000000001</v>
      </c>
      <c r="AD8" s="54">
        <f t="shared" ref="AD8:AD28" si="9">N8</f>
        <v>0</v>
      </c>
      <c r="AE8" s="54">
        <f t="shared" ref="AE8:AE28" si="10">P8</f>
        <v>7464.3129999999992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</row>
    <row r="9" spans="1:42" x14ac:dyDescent="0.3">
      <c r="B9" s="7">
        <v>2002</v>
      </c>
      <c r="C9" s="54">
        <v>23239.112000000001</v>
      </c>
      <c r="D9" s="54">
        <v>42176.673444764703</v>
      </c>
      <c r="E9" s="54">
        <v>12651.633555235298</v>
      </c>
      <c r="F9" s="54">
        <v>24612</v>
      </c>
      <c r="G9" s="54">
        <v>1601</v>
      </c>
      <c r="H9" s="54">
        <v>39617.491000000002</v>
      </c>
      <c r="I9" s="54">
        <v>2282</v>
      </c>
      <c r="J9" s="54">
        <v>1878</v>
      </c>
      <c r="K9" s="54">
        <v>198</v>
      </c>
      <c r="L9" s="54">
        <v>206</v>
      </c>
      <c r="M9" s="54">
        <v>81.626000000000005</v>
      </c>
      <c r="N9" s="54">
        <v>0</v>
      </c>
      <c r="O9" s="54">
        <v>146261.53599999999</v>
      </c>
      <c r="P9" s="54">
        <v>12245.464000000004</v>
      </c>
      <c r="Q9" s="54">
        <v>158507</v>
      </c>
      <c r="R9" s="54">
        <v>158507</v>
      </c>
      <c r="S9" s="50"/>
      <c r="T9" s="7">
        <v>2002</v>
      </c>
      <c r="U9" s="54">
        <f t="shared" si="0"/>
        <v>158507</v>
      </c>
      <c r="V9" s="54">
        <f t="shared" si="1"/>
        <v>23239.112000000001</v>
      </c>
      <c r="W9" s="54">
        <f t="shared" si="2"/>
        <v>12651.633555235298</v>
      </c>
      <c r="X9" s="54">
        <f t="shared" si="3"/>
        <v>42176.673444764703</v>
      </c>
      <c r="Y9" s="54">
        <f t="shared" si="4"/>
        <v>2282</v>
      </c>
      <c r="Z9" s="54">
        <f t="shared" si="5"/>
        <v>24612</v>
      </c>
      <c r="AA9" s="54">
        <f t="shared" si="6"/>
        <v>1601</v>
      </c>
      <c r="AB9" s="54">
        <f t="shared" si="7"/>
        <v>39617.491000000002</v>
      </c>
      <c r="AC9" s="54">
        <f t="shared" si="8"/>
        <v>81.626000000000005</v>
      </c>
      <c r="AD9" s="54">
        <f t="shared" si="9"/>
        <v>0</v>
      </c>
      <c r="AE9" s="54">
        <f t="shared" si="10"/>
        <v>12245.464000000004</v>
      </c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</row>
    <row r="10" spans="1:42" x14ac:dyDescent="0.3">
      <c r="B10" s="7">
        <v>2003</v>
      </c>
      <c r="C10" s="54">
        <v>23581.066999999999</v>
      </c>
      <c r="D10" s="54">
        <v>30401.659585123391</v>
      </c>
      <c r="E10" s="54">
        <v>20829.997414876616</v>
      </c>
      <c r="F10" s="54">
        <v>24207</v>
      </c>
      <c r="G10" s="54">
        <v>1591</v>
      </c>
      <c r="H10" s="54">
        <v>40679.205000000002</v>
      </c>
      <c r="I10" s="54">
        <v>2302</v>
      </c>
      <c r="J10" s="54">
        <v>1905</v>
      </c>
      <c r="K10" s="54">
        <v>205</v>
      </c>
      <c r="L10" s="54">
        <v>192</v>
      </c>
      <c r="M10" s="54">
        <v>41.201000000000001</v>
      </c>
      <c r="N10" s="54">
        <v>0</v>
      </c>
      <c r="O10" s="54">
        <v>143633.13</v>
      </c>
      <c r="P10" s="54">
        <v>14378.869999999983</v>
      </c>
      <c r="Q10" s="54">
        <v>158012</v>
      </c>
      <c r="R10" s="54">
        <v>158012</v>
      </c>
      <c r="S10" s="50"/>
      <c r="T10" s="7">
        <v>2003</v>
      </c>
      <c r="U10" s="54">
        <f t="shared" si="0"/>
        <v>158012</v>
      </c>
      <c r="V10" s="54">
        <f t="shared" si="1"/>
        <v>23581.066999999999</v>
      </c>
      <c r="W10" s="54">
        <f t="shared" si="2"/>
        <v>20829.997414876616</v>
      </c>
      <c r="X10" s="54">
        <f t="shared" si="3"/>
        <v>30401.659585123391</v>
      </c>
      <c r="Y10" s="54">
        <f t="shared" si="4"/>
        <v>2302</v>
      </c>
      <c r="Z10" s="54">
        <f t="shared" si="5"/>
        <v>24207</v>
      </c>
      <c r="AA10" s="54">
        <f t="shared" si="6"/>
        <v>1591</v>
      </c>
      <c r="AB10" s="54">
        <f t="shared" si="7"/>
        <v>40679.205000000002</v>
      </c>
      <c r="AC10" s="54">
        <f t="shared" si="8"/>
        <v>41.201000000000001</v>
      </c>
      <c r="AD10" s="54">
        <f t="shared" si="9"/>
        <v>0</v>
      </c>
      <c r="AE10" s="54">
        <f t="shared" si="10"/>
        <v>14378.869999999983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</row>
    <row r="11" spans="1:42" x14ac:dyDescent="0.3">
      <c r="B11" s="7">
        <v>2004</v>
      </c>
      <c r="C11" s="54">
        <v>22852.704000000002</v>
      </c>
      <c r="D11" s="54">
        <v>30059.133616082941</v>
      </c>
      <c r="E11" s="54">
        <v>23353.44138391707</v>
      </c>
      <c r="F11" s="54">
        <v>26745</v>
      </c>
      <c r="G11" s="54">
        <v>1408</v>
      </c>
      <c r="H11" s="54">
        <v>40640.305</v>
      </c>
      <c r="I11" s="54">
        <v>2303</v>
      </c>
      <c r="J11" s="54">
        <v>1883</v>
      </c>
      <c r="K11" s="54">
        <v>209</v>
      </c>
      <c r="L11" s="54">
        <v>211</v>
      </c>
      <c r="M11" s="54">
        <v>116.44971</v>
      </c>
      <c r="N11" s="54">
        <v>0</v>
      </c>
      <c r="O11" s="54">
        <v>147478.03370999999</v>
      </c>
      <c r="P11" s="54">
        <v>12732.966289999989</v>
      </c>
      <c r="Q11" s="54">
        <v>160210.99999999997</v>
      </c>
      <c r="R11" s="54">
        <v>160211</v>
      </c>
      <c r="S11" s="50"/>
      <c r="T11" s="7">
        <v>2004</v>
      </c>
      <c r="U11" s="54">
        <f t="shared" si="0"/>
        <v>160210.99999999997</v>
      </c>
      <c r="V11" s="54">
        <f t="shared" si="1"/>
        <v>22852.704000000002</v>
      </c>
      <c r="W11" s="54">
        <f t="shared" si="2"/>
        <v>23353.44138391707</v>
      </c>
      <c r="X11" s="54">
        <f t="shared" si="3"/>
        <v>30059.133616082941</v>
      </c>
      <c r="Y11" s="54">
        <f t="shared" si="4"/>
        <v>2303</v>
      </c>
      <c r="Z11" s="54">
        <f t="shared" si="5"/>
        <v>26745</v>
      </c>
      <c r="AA11" s="54">
        <f t="shared" si="6"/>
        <v>1408</v>
      </c>
      <c r="AB11" s="54">
        <f t="shared" si="7"/>
        <v>40640.305</v>
      </c>
      <c r="AC11" s="54">
        <f t="shared" si="8"/>
        <v>116.44971</v>
      </c>
      <c r="AD11" s="54">
        <f t="shared" si="9"/>
        <v>0</v>
      </c>
      <c r="AE11" s="54">
        <f t="shared" si="10"/>
        <v>12732.966289999989</v>
      </c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</row>
    <row r="12" spans="1:42" x14ac:dyDescent="0.3">
      <c r="B12" s="7">
        <v>2005</v>
      </c>
      <c r="C12" s="54">
        <v>20597.64</v>
      </c>
      <c r="D12" s="54">
        <v>34005.101111181699</v>
      </c>
      <c r="E12" s="54">
        <v>25619.325888818301</v>
      </c>
      <c r="F12" s="54">
        <v>26204</v>
      </c>
      <c r="G12" s="54">
        <v>1379</v>
      </c>
      <c r="H12" s="54">
        <v>42443.152000000002</v>
      </c>
      <c r="I12" s="54">
        <v>2481</v>
      </c>
      <c r="J12" s="54">
        <v>1899</v>
      </c>
      <c r="K12" s="54">
        <v>329</v>
      </c>
      <c r="L12" s="54">
        <v>253</v>
      </c>
      <c r="M12" s="54">
        <v>102.99</v>
      </c>
      <c r="N12" s="54">
        <v>0</v>
      </c>
      <c r="O12" s="54">
        <v>152832.20899999997</v>
      </c>
      <c r="P12" s="54">
        <v>14375.790999999988</v>
      </c>
      <c r="Q12" s="54">
        <v>167207.99999999997</v>
      </c>
      <c r="R12" s="54">
        <v>167208</v>
      </c>
      <c r="S12" s="50"/>
      <c r="T12" s="7">
        <v>2005</v>
      </c>
      <c r="U12" s="54">
        <f t="shared" si="0"/>
        <v>167208</v>
      </c>
      <c r="V12" s="54">
        <f t="shared" si="1"/>
        <v>20597.64</v>
      </c>
      <c r="W12" s="54">
        <f t="shared" si="2"/>
        <v>25619.325888818301</v>
      </c>
      <c r="X12" s="54">
        <f t="shared" si="3"/>
        <v>34005.101111181699</v>
      </c>
      <c r="Y12" s="54">
        <f t="shared" si="4"/>
        <v>2481</v>
      </c>
      <c r="Z12" s="54">
        <f t="shared" si="5"/>
        <v>26204</v>
      </c>
      <c r="AA12" s="54">
        <f t="shared" si="6"/>
        <v>1379</v>
      </c>
      <c r="AB12" s="54">
        <f t="shared" si="7"/>
        <v>42443.152000000002</v>
      </c>
      <c r="AC12" s="54">
        <f t="shared" si="8"/>
        <v>102.99</v>
      </c>
      <c r="AD12" s="54">
        <f t="shared" si="9"/>
        <v>0</v>
      </c>
      <c r="AE12" s="54">
        <f t="shared" si="10"/>
        <v>14375.790999999988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</row>
    <row r="13" spans="1:42" x14ac:dyDescent="0.3">
      <c r="B13" s="7">
        <v>2006</v>
      </c>
      <c r="C13" s="54">
        <v>20967.84</v>
      </c>
      <c r="D13" s="54">
        <v>46253.49407321852</v>
      </c>
      <c r="E13" s="54">
        <v>7440.7579267814845</v>
      </c>
      <c r="F13" s="54">
        <v>27110</v>
      </c>
      <c r="G13" s="54">
        <v>1312</v>
      </c>
      <c r="H13" s="54">
        <v>42223.898999999998</v>
      </c>
      <c r="I13" s="54">
        <v>2488</v>
      </c>
      <c r="J13" s="54">
        <v>1902</v>
      </c>
      <c r="K13" s="54">
        <v>326</v>
      </c>
      <c r="L13" s="54">
        <v>260</v>
      </c>
      <c r="M13" s="54">
        <v>655.37099999999998</v>
      </c>
      <c r="N13" s="54">
        <v>0</v>
      </c>
      <c r="O13" s="54">
        <v>148451.36200000002</v>
      </c>
      <c r="P13" s="54">
        <v>16743.042814667962</v>
      </c>
      <c r="Q13" s="54">
        <v>165194.404814668</v>
      </c>
      <c r="R13" s="54">
        <v>162238</v>
      </c>
      <c r="S13" s="50"/>
      <c r="T13" s="7">
        <v>2006</v>
      </c>
      <c r="U13" s="54">
        <f t="shared" si="0"/>
        <v>165194.404814668</v>
      </c>
      <c r="V13" s="54">
        <f t="shared" si="1"/>
        <v>20967.84</v>
      </c>
      <c r="W13" s="54">
        <f t="shared" si="2"/>
        <v>7440.7579267814845</v>
      </c>
      <c r="X13" s="54">
        <f t="shared" si="3"/>
        <v>46253.49407321852</v>
      </c>
      <c r="Y13" s="54">
        <f t="shared" si="4"/>
        <v>2488</v>
      </c>
      <c r="Z13" s="54">
        <f t="shared" si="5"/>
        <v>27110</v>
      </c>
      <c r="AA13" s="54">
        <f t="shared" si="6"/>
        <v>1312</v>
      </c>
      <c r="AB13" s="54">
        <f t="shared" si="7"/>
        <v>42223.898999999998</v>
      </c>
      <c r="AC13" s="54">
        <f t="shared" si="8"/>
        <v>655.37099999999998</v>
      </c>
      <c r="AD13" s="54">
        <f t="shared" si="9"/>
        <v>0</v>
      </c>
      <c r="AE13" s="54">
        <f t="shared" si="10"/>
        <v>16743.042814667962</v>
      </c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</row>
    <row r="14" spans="1:42" x14ac:dyDescent="0.3">
      <c r="B14" s="7">
        <v>2007</v>
      </c>
      <c r="C14" s="54">
        <v>21405.542000000001</v>
      </c>
      <c r="D14" s="54">
        <v>48892.625030104733</v>
      </c>
      <c r="E14" s="54">
        <v>8780.3749698952633</v>
      </c>
      <c r="F14" s="54">
        <v>24184</v>
      </c>
      <c r="G14" s="54">
        <v>1373</v>
      </c>
      <c r="H14" s="54">
        <v>42452.853999999999</v>
      </c>
      <c r="I14" s="54">
        <v>2555</v>
      </c>
      <c r="J14" s="54">
        <v>1902</v>
      </c>
      <c r="K14" s="54">
        <v>397</v>
      </c>
      <c r="L14" s="54">
        <v>256</v>
      </c>
      <c r="M14" s="54">
        <v>833.476</v>
      </c>
      <c r="N14" s="54">
        <v>0</v>
      </c>
      <c r="O14" s="54">
        <v>150476.87199999997</v>
      </c>
      <c r="P14" s="54">
        <v>18904.433591189445</v>
      </c>
      <c r="Q14" s="54">
        <v>169381.30559118942</v>
      </c>
      <c r="R14" s="54">
        <v>167341</v>
      </c>
      <c r="S14" s="50"/>
      <c r="T14" s="7">
        <v>2007</v>
      </c>
      <c r="U14" s="54">
        <f t="shared" si="0"/>
        <v>169381.30559118945</v>
      </c>
      <c r="V14" s="54">
        <f t="shared" si="1"/>
        <v>21405.542000000001</v>
      </c>
      <c r="W14" s="54">
        <f t="shared" si="2"/>
        <v>8780.3749698952633</v>
      </c>
      <c r="X14" s="54">
        <f t="shared" si="3"/>
        <v>48892.625030104733</v>
      </c>
      <c r="Y14" s="54">
        <f t="shared" si="4"/>
        <v>2555</v>
      </c>
      <c r="Z14" s="54">
        <f t="shared" si="5"/>
        <v>24184</v>
      </c>
      <c r="AA14" s="54">
        <f t="shared" si="6"/>
        <v>1373</v>
      </c>
      <c r="AB14" s="54">
        <f t="shared" si="7"/>
        <v>42452.853999999999</v>
      </c>
      <c r="AC14" s="54">
        <f t="shared" si="8"/>
        <v>833.476</v>
      </c>
      <c r="AD14" s="54">
        <f t="shared" si="9"/>
        <v>0</v>
      </c>
      <c r="AE14" s="54">
        <f t="shared" si="10"/>
        <v>18904.433591189445</v>
      </c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</row>
    <row r="15" spans="1:42" x14ac:dyDescent="0.3">
      <c r="B15" s="7">
        <v>2008</v>
      </c>
      <c r="C15" s="54">
        <v>19154.125</v>
      </c>
      <c r="D15" s="54">
        <v>46845.052161870473</v>
      </c>
      <c r="E15" s="54">
        <v>4000.5528381295258</v>
      </c>
      <c r="F15" s="54">
        <v>25711</v>
      </c>
      <c r="G15" s="54">
        <v>1790</v>
      </c>
      <c r="H15" s="54">
        <v>43209.171000000002</v>
      </c>
      <c r="I15" s="54">
        <v>2996</v>
      </c>
      <c r="J15" s="54">
        <v>1903</v>
      </c>
      <c r="K15" s="54">
        <v>533</v>
      </c>
      <c r="L15" s="54">
        <v>560</v>
      </c>
      <c r="M15" s="54">
        <v>1250.7003099999999</v>
      </c>
      <c r="N15" s="54">
        <v>0</v>
      </c>
      <c r="O15" s="54">
        <v>144956.60131</v>
      </c>
      <c r="P15" s="54">
        <v>23343.744773194096</v>
      </c>
      <c r="Q15" s="54">
        <v>168300.3460831941</v>
      </c>
      <c r="R15" s="54">
        <v>165612</v>
      </c>
      <c r="S15" s="50"/>
      <c r="T15" s="7">
        <v>2008</v>
      </c>
      <c r="U15" s="54">
        <f t="shared" si="0"/>
        <v>168300.3460831941</v>
      </c>
      <c r="V15" s="54">
        <f t="shared" si="1"/>
        <v>19154.125</v>
      </c>
      <c r="W15" s="54">
        <f t="shared" si="2"/>
        <v>4000.5528381295258</v>
      </c>
      <c r="X15" s="54">
        <f t="shared" si="3"/>
        <v>46845.052161870473</v>
      </c>
      <c r="Y15" s="54">
        <f t="shared" si="4"/>
        <v>2996</v>
      </c>
      <c r="Z15" s="54">
        <f t="shared" si="5"/>
        <v>25711</v>
      </c>
      <c r="AA15" s="54">
        <f t="shared" si="6"/>
        <v>1790</v>
      </c>
      <c r="AB15" s="54">
        <f t="shared" si="7"/>
        <v>43209.171000000002</v>
      </c>
      <c r="AC15" s="54">
        <f t="shared" si="8"/>
        <v>1250.7003099999999</v>
      </c>
      <c r="AD15" s="54">
        <f t="shared" si="9"/>
        <v>0</v>
      </c>
      <c r="AE15" s="54">
        <f t="shared" si="10"/>
        <v>23343.744773194096</v>
      </c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</row>
    <row r="16" spans="1:42" x14ac:dyDescent="0.3">
      <c r="B16" s="7">
        <v>2009</v>
      </c>
      <c r="C16" s="54">
        <v>12758.873</v>
      </c>
      <c r="D16" s="54">
        <v>44625.139511769521</v>
      </c>
      <c r="E16" s="54">
        <v>2828.6779482304792</v>
      </c>
      <c r="F16" s="54">
        <v>26420</v>
      </c>
      <c r="G16" s="54">
        <v>1525</v>
      </c>
      <c r="H16" s="54">
        <v>43484.614000000001</v>
      </c>
      <c r="I16" s="54">
        <v>2888</v>
      </c>
      <c r="J16" s="54">
        <v>1900</v>
      </c>
      <c r="K16" s="54">
        <v>648</v>
      </c>
      <c r="L16" s="54">
        <v>340</v>
      </c>
      <c r="M16" s="54">
        <v>2266.33862</v>
      </c>
      <c r="N16" s="54">
        <v>0</v>
      </c>
      <c r="O16" s="54">
        <v>136796.64308000001</v>
      </c>
      <c r="P16" s="54">
        <v>23361.134953636436</v>
      </c>
      <c r="Q16" s="54">
        <v>160157.77803363645</v>
      </c>
      <c r="R16" s="54">
        <v>158780</v>
      </c>
      <c r="S16" s="50"/>
      <c r="T16" s="7">
        <v>2009</v>
      </c>
      <c r="U16" s="54">
        <f t="shared" si="0"/>
        <v>160157.77803363645</v>
      </c>
      <c r="V16" s="54">
        <f t="shared" si="1"/>
        <v>12758.873</v>
      </c>
      <c r="W16" s="54">
        <f t="shared" si="2"/>
        <v>2828.6779482304792</v>
      </c>
      <c r="X16" s="54">
        <f t="shared" si="3"/>
        <v>44625.139511769521</v>
      </c>
      <c r="Y16" s="54">
        <f t="shared" si="4"/>
        <v>2888</v>
      </c>
      <c r="Z16" s="54">
        <f t="shared" si="5"/>
        <v>26420</v>
      </c>
      <c r="AA16" s="54">
        <f t="shared" si="6"/>
        <v>1525</v>
      </c>
      <c r="AB16" s="54">
        <f t="shared" si="7"/>
        <v>43484.614000000001</v>
      </c>
      <c r="AC16" s="54">
        <f t="shared" si="8"/>
        <v>2266.33862</v>
      </c>
      <c r="AD16" s="54">
        <f t="shared" si="9"/>
        <v>0</v>
      </c>
      <c r="AE16" s="54">
        <f t="shared" si="10"/>
        <v>23361.134953636436</v>
      </c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</row>
    <row r="17" spans="2:31" x14ac:dyDescent="0.3">
      <c r="B17" s="7">
        <v>2010</v>
      </c>
      <c r="C17" s="54">
        <v>13582.766</v>
      </c>
      <c r="D17" s="54">
        <v>51077.029869313796</v>
      </c>
      <c r="E17" s="54">
        <v>2093.5710306862047</v>
      </c>
      <c r="F17" s="54">
        <v>24214</v>
      </c>
      <c r="G17" s="54">
        <v>889</v>
      </c>
      <c r="H17" s="54">
        <v>41869.535000000003</v>
      </c>
      <c r="I17" s="54">
        <v>2916</v>
      </c>
      <c r="J17" s="54">
        <v>1893</v>
      </c>
      <c r="K17" s="54">
        <v>708</v>
      </c>
      <c r="L17" s="54">
        <v>315</v>
      </c>
      <c r="M17" s="54">
        <v>2596.154</v>
      </c>
      <c r="N17" s="54">
        <v>0</v>
      </c>
      <c r="O17" s="54">
        <v>139238.05590000001</v>
      </c>
      <c r="P17" s="54">
        <v>24912.378025104241</v>
      </c>
      <c r="Q17" s="54">
        <v>164150.43392510424</v>
      </c>
      <c r="R17" s="54">
        <v>163505</v>
      </c>
      <c r="S17" s="50"/>
      <c r="T17" s="7">
        <v>2010</v>
      </c>
      <c r="U17" s="54">
        <f t="shared" si="0"/>
        <v>164150.43392510424</v>
      </c>
      <c r="V17" s="54">
        <f t="shared" si="1"/>
        <v>13582.766</v>
      </c>
      <c r="W17" s="54">
        <f t="shared" si="2"/>
        <v>2093.5710306862047</v>
      </c>
      <c r="X17" s="54">
        <f t="shared" si="3"/>
        <v>51077.029869313796</v>
      </c>
      <c r="Y17" s="54">
        <f t="shared" si="4"/>
        <v>2916</v>
      </c>
      <c r="Z17" s="54">
        <f t="shared" si="5"/>
        <v>24214</v>
      </c>
      <c r="AA17" s="54">
        <f t="shared" si="6"/>
        <v>889</v>
      </c>
      <c r="AB17" s="54">
        <f t="shared" si="7"/>
        <v>41869.535000000003</v>
      </c>
      <c r="AC17" s="54">
        <f t="shared" si="8"/>
        <v>2596.154</v>
      </c>
      <c r="AD17" s="54">
        <f t="shared" si="9"/>
        <v>0</v>
      </c>
      <c r="AE17" s="54">
        <f t="shared" si="10"/>
        <v>24912.378025104241</v>
      </c>
    </row>
    <row r="18" spans="2:31" x14ac:dyDescent="0.3">
      <c r="B18" s="7">
        <v>2011</v>
      </c>
      <c r="C18" s="54">
        <v>9426.1601899999987</v>
      </c>
      <c r="D18" s="54">
        <v>52713.205185211904</v>
      </c>
      <c r="E18" s="54">
        <v>1234.1628127880902</v>
      </c>
      <c r="F18" s="54">
        <v>27634.075709000001</v>
      </c>
      <c r="G18" s="54">
        <v>720.58399999999995</v>
      </c>
      <c r="H18" s="54">
        <v>42695.008999999998</v>
      </c>
      <c r="I18" s="54">
        <v>2823.163642</v>
      </c>
      <c r="J18" s="54">
        <v>1878.3761300000001</v>
      </c>
      <c r="K18" s="54">
        <v>735.13761199999999</v>
      </c>
      <c r="L18" s="54">
        <v>209.6499</v>
      </c>
      <c r="M18" s="54">
        <v>2828.069</v>
      </c>
      <c r="N18" s="54">
        <v>6.5285000000000002</v>
      </c>
      <c r="O18" s="54">
        <v>140080.95803899993</v>
      </c>
      <c r="P18" s="54">
        <v>24882.850831558913</v>
      </c>
      <c r="Q18" s="54">
        <v>164963.80887055886</v>
      </c>
      <c r="R18" s="54">
        <v>163329</v>
      </c>
      <c r="S18" s="50"/>
      <c r="T18" s="7">
        <v>2011</v>
      </c>
      <c r="U18" s="54">
        <f t="shared" si="0"/>
        <v>164963.80887055886</v>
      </c>
      <c r="V18" s="54">
        <f t="shared" si="1"/>
        <v>9426.1601899999987</v>
      </c>
      <c r="W18" s="54">
        <f t="shared" si="2"/>
        <v>1234.1628127880902</v>
      </c>
      <c r="X18" s="54">
        <f t="shared" si="3"/>
        <v>52713.205185211904</v>
      </c>
      <c r="Y18" s="54">
        <f t="shared" si="4"/>
        <v>2823.163642</v>
      </c>
      <c r="Z18" s="54">
        <f t="shared" si="5"/>
        <v>27634.075709000001</v>
      </c>
      <c r="AA18" s="54">
        <f t="shared" si="6"/>
        <v>720.58399999999995</v>
      </c>
      <c r="AB18" s="54">
        <f t="shared" si="7"/>
        <v>42695.008999999998</v>
      </c>
      <c r="AC18" s="54">
        <f t="shared" si="8"/>
        <v>2828.069</v>
      </c>
      <c r="AD18" s="54">
        <f t="shared" si="9"/>
        <v>6.5285000000000002</v>
      </c>
      <c r="AE18" s="54">
        <f t="shared" si="10"/>
        <v>24882.850831558913</v>
      </c>
    </row>
    <row r="19" spans="2:31" x14ac:dyDescent="0.3">
      <c r="B19" s="7">
        <v>2012</v>
      </c>
      <c r="C19" s="54">
        <v>4551.0390800000005</v>
      </c>
      <c r="D19" s="54">
        <v>62072.734956932814</v>
      </c>
      <c r="E19" s="54">
        <v>605.75930606717657</v>
      </c>
      <c r="F19" s="54">
        <v>24572.279575000004</v>
      </c>
      <c r="G19" s="54">
        <v>730.69799999999998</v>
      </c>
      <c r="H19" s="54">
        <v>40774.559999999998</v>
      </c>
      <c r="I19" s="54">
        <v>2944.6900900000005</v>
      </c>
      <c r="J19" s="54">
        <v>1897.3796800000002</v>
      </c>
      <c r="K19" s="54">
        <v>736.38565000000006</v>
      </c>
      <c r="L19" s="54">
        <v>310.92475999999999</v>
      </c>
      <c r="M19" s="54">
        <v>2991.58041</v>
      </c>
      <c r="N19" s="54">
        <v>53.09</v>
      </c>
      <c r="O19" s="54">
        <v>139296.43141800002</v>
      </c>
      <c r="P19" s="54">
        <v>25516.198366432167</v>
      </c>
      <c r="Q19" s="54">
        <v>164812.62978443218</v>
      </c>
      <c r="R19" s="54">
        <v>162840</v>
      </c>
      <c r="S19" s="50"/>
      <c r="T19" s="7">
        <v>2012</v>
      </c>
      <c r="U19" s="54">
        <f t="shared" si="0"/>
        <v>164812.62978443215</v>
      </c>
      <c r="V19" s="54">
        <f t="shared" si="1"/>
        <v>4551.0390800000005</v>
      </c>
      <c r="W19" s="54">
        <f t="shared" si="2"/>
        <v>605.75930606717657</v>
      </c>
      <c r="X19" s="54">
        <f t="shared" si="3"/>
        <v>62072.734956932814</v>
      </c>
      <c r="Y19" s="54">
        <f t="shared" si="4"/>
        <v>2944.6900900000001</v>
      </c>
      <c r="Z19" s="54">
        <f t="shared" si="5"/>
        <v>24572.279575000004</v>
      </c>
      <c r="AA19" s="54">
        <f t="shared" si="6"/>
        <v>730.69799999999998</v>
      </c>
      <c r="AB19" s="54">
        <f t="shared" si="7"/>
        <v>40774.559999999998</v>
      </c>
      <c r="AC19" s="54">
        <f t="shared" si="8"/>
        <v>2991.58041</v>
      </c>
      <c r="AD19" s="54">
        <f t="shared" si="9"/>
        <v>53.09</v>
      </c>
      <c r="AE19" s="54">
        <f t="shared" si="10"/>
        <v>25516.198366432167</v>
      </c>
    </row>
    <row r="20" spans="2:31" x14ac:dyDescent="0.3">
      <c r="B20" s="7">
        <v>2013</v>
      </c>
      <c r="C20" s="54">
        <v>4697.1049999999996</v>
      </c>
      <c r="D20" s="54">
        <v>57039.160102929287</v>
      </c>
      <c r="E20" s="54">
        <v>1057.1313760706944</v>
      </c>
      <c r="F20" s="54">
        <v>25631</v>
      </c>
      <c r="G20" s="54">
        <v>765.61099999999999</v>
      </c>
      <c r="H20" s="54">
        <v>44755.606</v>
      </c>
      <c r="I20" s="54">
        <v>3002.9255560000001</v>
      </c>
      <c r="J20" s="54">
        <v>1798.6331010000001</v>
      </c>
      <c r="K20" s="54">
        <v>827.72248000000002</v>
      </c>
      <c r="L20" s="54">
        <v>376.569975</v>
      </c>
      <c r="M20" s="54">
        <v>3539.498</v>
      </c>
      <c r="N20" s="54">
        <v>51.817999999999998</v>
      </c>
      <c r="O20" s="54">
        <v>140539.85503499999</v>
      </c>
      <c r="P20" s="54">
        <v>25901.593916342033</v>
      </c>
      <c r="Q20" s="54">
        <v>166441.44895134203</v>
      </c>
      <c r="R20" s="54">
        <v>163514</v>
      </c>
      <c r="S20" s="50"/>
      <c r="T20" s="7">
        <v>2013</v>
      </c>
      <c r="U20" s="54">
        <f t="shared" si="0"/>
        <v>166441.448951342</v>
      </c>
      <c r="V20" s="54">
        <f t="shared" si="1"/>
        <v>4697.1049999999996</v>
      </c>
      <c r="W20" s="54">
        <f t="shared" si="2"/>
        <v>1057.1313760706944</v>
      </c>
      <c r="X20" s="54">
        <f t="shared" si="3"/>
        <v>57039.160102929287</v>
      </c>
      <c r="Y20" s="54">
        <f t="shared" si="4"/>
        <v>3002.9255560000001</v>
      </c>
      <c r="Z20" s="54">
        <f t="shared" si="5"/>
        <v>25631</v>
      </c>
      <c r="AA20" s="54">
        <f t="shared" si="6"/>
        <v>765.61099999999999</v>
      </c>
      <c r="AB20" s="54">
        <f t="shared" si="7"/>
        <v>44755.606</v>
      </c>
      <c r="AC20" s="54">
        <f t="shared" si="8"/>
        <v>3539.498</v>
      </c>
      <c r="AD20" s="54">
        <f t="shared" si="9"/>
        <v>51.817999999999998</v>
      </c>
      <c r="AE20" s="54">
        <f t="shared" si="10"/>
        <v>25901.593916342033</v>
      </c>
    </row>
    <row r="21" spans="2:31" x14ac:dyDescent="0.3">
      <c r="B21" s="7">
        <v>2014</v>
      </c>
      <c r="C21" s="54">
        <v>4325.4415010000002</v>
      </c>
      <c r="D21" s="54">
        <v>57506.936074489277</v>
      </c>
      <c r="E21" s="54">
        <v>2259.3447085107105</v>
      </c>
      <c r="F21" s="54">
        <v>25974.003735000002</v>
      </c>
      <c r="G21" s="54">
        <v>849.36800000000005</v>
      </c>
      <c r="H21" s="54">
        <v>43040.664290000001</v>
      </c>
      <c r="I21" s="54">
        <v>3194.0265330000002</v>
      </c>
      <c r="J21" s="54">
        <v>1865.9678900000001</v>
      </c>
      <c r="K21" s="54">
        <v>789.41118700000015</v>
      </c>
      <c r="L21" s="54">
        <v>538.64745599999992</v>
      </c>
      <c r="M21" s="54">
        <v>3985.7972049999994</v>
      </c>
      <c r="N21" s="54">
        <v>51.029000000000003</v>
      </c>
      <c r="O21" s="54">
        <v>141186.61104700001</v>
      </c>
      <c r="P21" s="54">
        <v>20789.060555334501</v>
      </c>
      <c r="Q21" s="54">
        <v>161975.67160233451</v>
      </c>
      <c r="R21" s="54">
        <v>160059</v>
      </c>
      <c r="S21" s="50"/>
      <c r="T21" s="7">
        <v>2014</v>
      </c>
      <c r="U21" s="54">
        <f t="shared" si="0"/>
        <v>161975.67160233451</v>
      </c>
      <c r="V21" s="54">
        <f t="shared" si="1"/>
        <v>4325.4415010000002</v>
      </c>
      <c r="W21" s="54">
        <f t="shared" si="2"/>
        <v>2259.3447085107105</v>
      </c>
      <c r="X21" s="54">
        <f t="shared" si="3"/>
        <v>57506.936074489277</v>
      </c>
      <c r="Y21" s="54">
        <f t="shared" si="4"/>
        <v>3194.0265330000002</v>
      </c>
      <c r="Z21" s="54">
        <f t="shared" si="5"/>
        <v>25974.003735000002</v>
      </c>
      <c r="AA21" s="54">
        <f t="shared" si="6"/>
        <v>849.36800000000005</v>
      </c>
      <c r="AB21" s="54">
        <f t="shared" si="7"/>
        <v>43040.664290000001</v>
      </c>
      <c r="AC21" s="54">
        <f t="shared" si="8"/>
        <v>3985.7972049999994</v>
      </c>
      <c r="AD21" s="54">
        <f t="shared" si="9"/>
        <v>51.029000000000003</v>
      </c>
      <c r="AE21" s="54">
        <f t="shared" si="10"/>
        <v>20789.060555334501</v>
      </c>
    </row>
    <row r="22" spans="2:31" x14ac:dyDescent="0.3">
      <c r="B22" s="7">
        <v>2015</v>
      </c>
      <c r="C22" s="54">
        <v>2046.1764499999999</v>
      </c>
      <c r="D22" s="54">
        <v>59919.05812555251</v>
      </c>
      <c r="E22" s="54">
        <v>1991.876528447496</v>
      </c>
      <c r="F22" s="54">
        <v>25879.447899999992</v>
      </c>
      <c r="G22" s="54">
        <v>824.846</v>
      </c>
      <c r="H22" s="54">
        <v>44620.212080000005</v>
      </c>
      <c r="I22" s="54">
        <v>3028.1876969999998</v>
      </c>
      <c r="J22" s="54">
        <v>1861.5468699999999</v>
      </c>
      <c r="K22" s="54">
        <v>744.68307700000003</v>
      </c>
      <c r="L22" s="54">
        <v>421.95774999999998</v>
      </c>
      <c r="M22" s="54">
        <v>3983.8461260000008</v>
      </c>
      <c r="N22" s="54">
        <v>52.286999999999999</v>
      </c>
      <c r="O22" s="54">
        <v>142345.93790699998</v>
      </c>
      <c r="P22" s="54">
        <v>19809.052558570747</v>
      </c>
      <c r="Q22" s="54">
        <v>162154.99046557074</v>
      </c>
      <c r="R22" s="54">
        <v>161572</v>
      </c>
      <c r="S22" s="50"/>
      <c r="T22" s="7">
        <v>2015</v>
      </c>
      <c r="U22" s="54">
        <f t="shared" si="0"/>
        <v>162154.99046557077</v>
      </c>
      <c r="V22" s="54">
        <f t="shared" si="1"/>
        <v>2046.1764499999999</v>
      </c>
      <c r="W22" s="54">
        <f t="shared" si="2"/>
        <v>1991.876528447496</v>
      </c>
      <c r="X22" s="54">
        <f t="shared" si="3"/>
        <v>59919.05812555251</v>
      </c>
      <c r="Y22" s="54">
        <f t="shared" si="4"/>
        <v>3028.1876969999998</v>
      </c>
      <c r="Z22" s="54">
        <f t="shared" si="5"/>
        <v>25879.447899999992</v>
      </c>
      <c r="AA22" s="54">
        <f t="shared" si="6"/>
        <v>824.846</v>
      </c>
      <c r="AB22" s="54">
        <f t="shared" si="7"/>
        <v>44620.212080000005</v>
      </c>
      <c r="AC22" s="54">
        <f t="shared" si="8"/>
        <v>3983.8461260000008</v>
      </c>
      <c r="AD22" s="54">
        <f t="shared" si="9"/>
        <v>52.286999999999999</v>
      </c>
      <c r="AE22" s="54">
        <f t="shared" si="10"/>
        <v>19809.052558570747</v>
      </c>
    </row>
    <row r="23" spans="2:31" x14ac:dyDescent="0.3">
      <c r="B23" s="7">
        <v>2016</v>
      </c>
      <c r="C23" s="54">
        <v>1492.8</v>
      </c>
      <c r="D23" s="54">
        <v>59697.569447078473</v>
      </c>
      <c r="E23" s="54">
        <v>675.83055292152585</v>
      </c>
      <c r="F23" s="54">
        <v>26314.1</v>
      </c>
      <c r="G23" s="54">
        <v>835.6</v>
      </c>
      <c r="H23" s="54">
        <v>41637.5</v>
      </c>
      <c r="I23" s="54">
        <v>2881.1000000000004</v>
      </c>
      <c r="J23" s="54">
        <v>1840.9</v>
      </c>
      <c r="K23" s="54">
        <v>747.7</v>
      </c>
      <c r="L23" s="54">
        <v>292.5</v>
      </c>
      <c r="M23" s="54">
        <v>3943.3</v>
      </c>
      <c r="N23" s="54">
        <v>53.7</v>
      </c>
      <c r="O23" s="54">
        <v>137531.50000000003</v>
      </c>
      <c r="P23" s="54">
        <v>22357.961993616445</v>
      </c>
      <c r="Q23" s="54">
        <v>159889.46199361648</v>
      </c>
      <c r="R23" s="54">
        <v>160798</v>
      </c>
      <c r="S23" s="50"/>
      <c r="T23" s="7">
        <v>2016</v>
      </c>
      <c r="U23" s="54">
        <f t="shared" si="0"/>
        <v>159889.46199361645</v>
      </c>
      <c r="V23" s="54">
        <f t="shared" si="1"/>
        <v>1492.8</v>
      </c>
      <c r="W23" s="54">
        <f t="shared" si="2"/>
        <v>675.83055292152585</v>
      </c>
      <c r="X23" s="54">
        <f t="shared" si="3"/>
        <v>59697.569447078473</v>
      </c>
      <c r="Y23" s="54">
        <f t="shared" si="4"/>
        <v>2881.1000000000004</v>
      </c>
      <c r="Z23" s="54">
        <f t="shared" si="5"/>
        <v>26314.1</v>
      </c>
      <c r="AA23" s="54">
        <f t="shared" si="6"/>
        <v>835.6</v>
      </c>
      <c r="AB23" s="54">
        <f t="shared" si="7"/>
        <v>41637.5</v>
      </c>
      <c r="AC23" s="54">
        <f t="shared" si="8"/>
        <v>3943.3</v>
      </c>
      <c r="AD23" s="54">
        <f t="shared" si="9"/>
        <v>53.7</v>
      </c>
      <c r="AE23" s="54">
        <f t="shared" si="10"/>
        <v>22357.961993616445</v>
      </c>
    </row>
    <row r="24" spans="2:31" x14ac:dyDescent="0.3">
      <c r="B24" s="7">
        <v>2017</v>
      </c>
      <c r="C24" s="54">
        <v>567.4</v>
      </c>
      <c r="D24" s="54">
        <v>50270.183226027046</v>
      </c>
      <c r="E24" s="54">
        <v>635.81677397294948</v>
      </c>
      <c r="F24" s="54">
        <v>29554.2</v>
      </c>
      <c r="G24" s="54">
        <v>795.3</v>
      </c>
      <c r="H24" s="54">
        <v>42174.6</v>
      </c>
      <c r="I24" s="54">
        <v>2918.5</v>
      </c>
      <c r="J24" s="54">
        <v>1900.1</v>
      </c>
      <c r="K24" s="54">
        <v>730.1</v>
      </c>
      <c r="L24" s="54">
        <v>288.3</v>
      </c>
      <c r="M24" s="54">
        <v>4219.2</v>
      </c>
      <c r="N24" s="54">
        <v>47.3</v>
      </c>
      <c r="O24" s="54">
        <v>131182.5</v>
      </c>
      <c r="P24" s="54">
        <v>24319.065782329184</v>
      </c>
      <c r="Q24" s="54">
        <v>155501.56578232918</v>
      </c>
      <c r="R24" s="54">
        <v>156370</v>
      </c>
      <c r="S24" s="50"/>
      <c r="T24" s="7">
        <v>2017</v>
      </c>
      <c r="U24" s="54">
        <f t="shared" si="0"/>
        <v>155501.56578232918</v>
      </c>
      <c r="V24" s="54">
        <f t="shared" si="1"/>
        <v>567.4</v>
      </c>
      <c r="W24" s="54">
        <f t="shared" si="2"/>
        <v>635.81677397294948</v>
      </c>
      <c r="X24" s="54">
        <f t="shared" si="3"/>
        <v>50270.183226027046</v>
      </c>
      <c r="Y24" s="54">
        <f t="shared" si="4"/>
        <v>2918.5</v>
      </c>
      <c r="Z24" s="54">
        <f t="shared" si="5"/>
        <v>29554.2</v>
      </c>
      <c r="AA24" s="54">
        <f t="shared" si="6"/>
        <v>795.3</v>
      </c>
      <c r="AB24" s="54">
        <f t="shared" si="7"/>
        <v>42174.6</v>
      </c>
      <c r="AC24" s="54">
        <f t="shared" si="8"/>
        <v>4219.2</v>
      </c>
      <c r="AD24" s="54">
        <f t="shared" si="9"/>
        <v>47.3</v>
      </c>
      <c r="AE24" s="54">
        <f t="shared" si="10"/>
        <v>24319.065782329184</v>
      </c>
    </row>
    <row r="25" spans="2:31" x14ac:dyDescent="0.3">
      <c r="B25" s="7">
        <v>2018</v>
      </c>
      <c r="C25" s="54">
        <v>692</v>
      </c>
      <c r="D25" s="54">
        <v>53593.074287614676</v>
      </c>
      <c r="E25" s="54">
        <v>1677.8257123853191</v>
      </c>
      <c r="F25" s="54">
        <v>29045</v>
      </c>
      <c r="G25" s="54">
        <v>811</v>
      </c>
      <c r="H25" s="54">
        <v>43003</v>
      </c>
      <c r="I25" s="54">
        <v>2729.3999999999996</v>
      </c>
      <c r="J25" s="54">
        <v>1878.3999999999999</v>
      </c>
      <c r="K25" s="54">
        <v>647.6</v>
      </c>
      <c r="L25" s="54">
        <v>203.4</v>
      </c>
      <c r="M25" s="54">
        <v>3985.1</v>
      </c>
      <c r="N25" s="54">
        <v>48.8</v>
      </c>
      <c r="O25" s="54">
        <v>135585.19999999998</v>
      </c>
      <c r="P25" s="54">
        <v>26765.949888579977</v>
      </c>
      <c r="Q25" s="54">
        <v>162351.14988857997</v>
      </c>
      <c r="R25" s="54">
        <v>161114</v>
      </c>
      <c r="S25" s="50"/>
      <c r="T25" s="7">
        <v>2018</v>
      </c>
      <c r="U25" s="54">
        <f t="shared" si="0"/>
        <v>162351.14988857997</v>
      </c>
      <c r="V25" s="54">
        <f t="shared" si="1"/>
        <v>692</v>
      </c>
      <c r="W25" s="54">
        <f t="shared" si="2"/>
        <v>1677.8257123853191</v>
      </c>
      <c r="X25" s="54">
        <f t="shared" si="3"/>
        <v>53593.074287614676</v>
      </c>
      <c r="Y25" s="54">
        <f t="shared" si="4"/>
        <v>2729.4</v>
      </c>
      <c r="Z25" s="54">
        <f t="shared" si="5"/>
        <v>29045</v>
      </c>
      <c r="AA25" s="54">
        <f t="shared" si="6"/>
        <v>811</v>
      </c>
      <c r="AB25" s="54">
        <f t="shared" si="7"/>
        <v>43003</v>
      </c>
      <c r="AC25" s="54">
        <f t="shared" si="8"/>
        <v>3985.1</v>
      </c>
      <c r="AD25" s="54">
        <f t="shared" si="9"/>
        <v>48.8</v>
      </c>
      <c r="AE25" s="54">
        <f t="shared" si="10"/>
        <v>26765.949888579977</v>
      </c>
    </row>
    <row r="26" spans="2:31" x14ac:dyDescent="0.3">
      <c r="B26" s="55">
        <v>2019</v>
      </c>
      <c r="C26" s="54">
        <v>425.6</v>
      </c>
      <c r="D26" s="54">
        <v>51341.4</v>
      </c>
      <c r="E26" s="54">
        <v>104</v>
      </c>
      <c r="F26" s="54">
        <v>30140.9</v>
      </c>
      <c r="G26" s="54">
        <v>583.1</v>
      </c>
      <c r="H26" s="54">
        <v>44787.899999999994</v>
      </c>
      <c r="I26" s="62"/>
      <c r="J26" s="54">
        <v>1832.3</v>
      </c>
      <c r="K26" s="54">
        <v>660.9</v>
      </c>
      <c r="L26" s="54">
        <v>154.6</v>
      </c>
      <c r="M26" s="54">
        <v>4453.6000000000004</v>
      </c>
      <c r="N26" s="54">
        <v>52.1</v>
      </c>
      <c r="O26" s="54">
        <f>SUM(C26:N26)</f>
        <v>134536.4</v>
      </c>
      <c r="P26" s="54">
        <v>23128</v>
      </c>
      <c r="Q26" s="54">
        <f>SUM(C26:N26)+P26</f>
        <v>157664.4</v>
      </c>
      <c r="R26" s="59"/>
      <c r="S26" s="50"/>
      <c r="T26" s="55">
        <v>2019</v>
      </c>
      <c r="U26" s="54">
        <f t="shared" si="0"/>
        <v>157664.40000000002</v>
      </c>
      <c r="V26" s="54">
        <f t="shared" ref="V26:V28" si="11">C26</f>
        <v>425.6</v>
      </c>
      <c r="W26" s="54">
        <f t="shared" ref="W26:W28" si="12">E26</f>
        <v>104</v>
      </c>
      <c r="X26" s="54">
        <f t="shared" ref="X26:X28" si="13">D26</f>
        <v>51341.4</v>
      </c>
      <c r="Y26" s="54">
        <f t="shared" ref="Y26:Y28" si="14">J26+K26+L26</f>
        <v>2647.7999999999997</v>
      </c>
      <c r="Z26" s="54">
        <f t="shared" si="5"/>
        <v>30140.9</v>
      </c>
      <c r="AA26" s="54">
        <f t="shared" si="6"/>
        <v>583.1</v>
      </c>
      <c r="AB26" s="54">
        <f t="shared" si="7"/>
        <v>44787.899999999994</v>
      </c>
      <c r="AC26" s="54">
        <f t="shared" si="8"/>
        <v>4453.6000000000004</v>
      </c>
      <c r="AD26" s="54">
        <f t="shared" si="9"/>
        <v>52.1</v>
      </c>
      <c r="AE26" s="54">
        <f t="shared" si="10"/>
        <v>23128</v>
      </c>
    </row>
    <row r="27" spans="2:31" x14ac:dyDescent="0.3">
      <c r="B27" s="55">
        <v>2020</v>
      </c>
      <c r="C27" s="54">
        <v>145.9</v>
      </c>
      <c r="D27" s="54">
        <v>56069.700000000004</v>
      </c>
      <c r="E27" s="54">
        <v>209.2</v>
      </c>
      <c r="F27" s="54">
        <v>29521.3</v>
      </c>
      <c r="G27" s="54">
        <v>635.5</v>
      </c>
      <c r="H27" s="54">
        <v>38437</v>
      </c>
      <c r="I27" s="62"/>
      <c r="J27" s="54">
        <v>1619.7</v>
      </c>
      <c r="K27" s="54">
        <v>612.9</v>
      </c>
      <c r="L27" s="54">
        <v>0</v>
      </c>
      <c r="M27" s="54">
        <v>4161.8999999999996</v>
      </c>
      <c r="N27" s="54">
        <v>48.5</v>
      </c>
      <c r="O27" s="54">
        <f t="shared" ref="O27:O28" si="15">SUM(C27:N27)</f>
        <v>131461.6</v>
      </c>
      <c r="P27" s="54">
        <v>20029</v>
      </c>
      <c r="Q27" s="54">
        <f t="shared" ref="Q27:Q28" si="16">SUM(C27:N27)+P27</f>
        <v>151490.6</v>
      </c>
      <c r="R27" s="60"/>
      <c r="S27" s="50"/>
      <c r="T27" s="55">
        <v>2020</v>
      </c>
      <c r="U27" s="54">
        <f t="shared" si="0"/>
        <v>151490.6</v>
      </c>
      <c r="V27" s="54">
        <f t="shared" si="11"/>
        <v>145.9</v>
      </c>
      <c r="W27" s="54">
        <f t="shared" si="12"/>
        <v>209.2</v>
      </c>
      <c r="X27" s="54">
        <f t="shared" si="13"/>
        <v>56069.700000000004</v>
      </c>
      <c r="Y27" s="54">
        <f t="shared" si="14"/>
        <v>2232.6</v>
      </c>
      <c r="Z27" s="54">
        <f t="shared" si="5"/>
        <v>29521.3</v>
      </c>
      <c r="AA27" s="54">
        <f t="shared" si="6"/>
        <v>635.5</v>
      </c>
      <c r="AB27" s="54">
        <f t="shared" si="7"/>
        <v>38437</v>
      </c>
      <c r="AC27" s="54">
        <f t="shared" si="8"/>
        <v>4161.8999999999996</v>
      </c>
      <c r="AD27" s="54">
        <f t="shared" si="9"/>
        <v>48.5</v>
      </c>
      <c r="AE27" s="54">
        <f t="shared" si="10"/>
        <v>20029</v>
      </c>
    </row>
    <row r="28" spans="2:31" x14ac:dyDescent="0.3">
      <c r="B28" s="55">
        <v>2021</v>
      </c>
      <c r="C28" s="54">
        <v>0</v>
      </c>
      <c r="D28" s="54">
        <v>59466.600000000006</v>
      </c>
      <c r="E28" s="54">
        <v>154.1</v>
      </c>
      <c r="F28" s="54">
        <v>28674.7</v>
      </c>
      <c r="G28" s="54">
        <v>711.9</v>
      </c>
      <c r="H28" s="54">
        <v>31113.1</v>
      </c>
      <c r="I28" s="62"/>
      <c r="J28" s="54">
        <v>1832.3</v>
      </c>
      <c r="K28" s="54">
        <v>652.9</v>
      </c>
      <c r="L28" s="54">
        <v>0</v>
      </c>
      <c r="M28" s="54">
        <v>4110.7</v>
      </c>
      <c r="N28" s="54">
        <v>49.8</v>
      </c>
      <c r="O28" s="54">
        <f t="shared" si="15"/>
        <v>126766.09999999999</v>
      </c>
      <c r="P28" s="54">
        <v>27212</v>
      </c>
      <c r="Q28" s="54">
        <f t="shared" si="16"/>
        <v>153978.09999999998</v>
      </c>
      <c r="R28" s="61"/>
      <c r="S28" s="50"/>
      <c r="T28" s="55">
        <v>2021</v>
      </c>
      <c r="U28" s="54">
        <f t="shared" si="0"/>
        <v>153978.1</v>
      </c>
      <c r="V28" s="54">
        <f t="shared" si="11"/>
        <v>0</v>
      </c>
      <c r="W28" s="54">
        <f t="shared" si="12"/>
        <v>154.1</v>
      </c>
      <c r="X28" s="54">
        <f t="shared" si="13"/>
        <v>59466.600000000006</v>
      </c>
      <c r="Y28" s="54">
        <f t="shared" si="14"/>
        <v>2485.1999999999998</v>
      </c>
      <c r="Z28" s="54">
        <f t="shared" si="5"/>
        <v>28674.7</v>
      </c>
      <c r="AA28" s="54">
        <f t="shared" si="6"/>
        <v>711.9</v>
      </c>
      <c r="AB28" s="54">
        <f t="shared" si="7"/>
        <v>31113.1</v>
      </c>
      <c r="AC28" s="54">
        <f t="shared" si="8"/>
        <v>4110.7</v>
      </c>
      <c r="AD28" s="54">
        <f t="shared" si="9"/>
        <v>49.8</v>
      </c>
      <c r="AE28" s="54">
        <f t="shared" si="10"/>
        <v>27212</v>
      </c>
    </row>
    <row r="29" spans="2:31" x14ac:dyDescent="0.3">
      <c r="O29" s="50"/>
      <c r="P29" s="50"/>
      <c r="Q29" s="50"/>
      <c r="R29" s="50"/>
      <c r="S29" s="50"/>
    </row>
    <row r="30" spans="2:31" x14ac:dyDescent="0.3">
      <c r="O30" s="50"/>
      <c r="P30" s="50"/>
      <c r="Q30" s="50"/>
      <c r="R30" s="50"/>
      <c r="S30" s="50"/>
    </row>
    <row r="31" spans="2:31" x14ac:dyDescent="0.3">
      <c r="O31" s="50"/>
      <c r="P31" s="50"/>
      <c r="Q31" s="50"/>
      <c r="R31" s="50"/>
      <c r="S31" s="50"/>
    </row>
    <row r="37" spans="2:14" x14ac:dyDescent="0.3">
      <c r="B37"/>
      <c r="C37" s="53" t="s">
        <v>26</v>
      </c>
      <c r="D37" s="53" t="s">
        <v>28</v>
      </c>
      <c r="E37" s="53" t="s">
        <v>37</v>
      </c>
      <c r="F37" s="53" t="s">
        <v>38</v>
      </c>
      <c r="G37" s="53" t="s">
        <v>39</v>
      </c>
      <c r="H37" s="53" t="s">
        <v>32</v>
      </c>
      <c r="I37" s="53" t="s">
        <v>29</v>
      </c>
      <c r="J37" s="53" t="s">
        <v>40</v>
      </c>
      <c r="K37" s="53" t="s">
        <v>41</v>
      </c>
      <c r="L37" s="53" t="s">
        <v>42</v>
      </c>
      <c r="M37" s="53" t="s">
        <v>34</v>
      </c>
      <c r="N37" s="53" t="s">
        <v>35</v>
      </c>
    </row>
    <row r="38" spans="2:14" x14ac:dyDescent="0.3">
      <c r="B38" s="55">
        <v>2016</v>
      </c>
      <c r="C38" s="25">
        <v>1492.8</v>
      </c>
      <c r="D38" s="25">
        <v>60237.80000000001</v>
      </c>
      <c r="E38" s="25">
        <v>135.6</v>
      </c>
      <c r="F38" s="25">
        <v>26314.100000000002</v>
      </c>
      <c r="G38" s="25">
        <v>835.6</v>
      </c>
      <c r="H38" s="25">
        <v>41637.5</v>
      </c>
      <c r="I38" s="56"/>
      <c r="J38" s="25">
        <v>1840.9</v>
      </c>
      <c r="K38" s="25">
        <v>747.69999999999993</v>
      </c>
      <c r="L38" s="25">
        <v>292.5</v>
      </c>
      <c r="M38" s="25">
        <v>3943.3</v>
      </c>
      <c r="N38" s="25">
        <v>53.7</v>
      </c>
    </row>
    <row r="39" spans="2:14" x14ac:dyDescent="0.3">
      <c r="B39" s="55">
        <v>2017</v>
      </c>
      <c r="C39" s="25">
        <v>567.5</v>
      </c>
      <c r="D39" s="25">
        <v>50832.7</v>
      </c>
      <c r="E39" s="25">
        <v>73.7</v>
      </c>
      <c r="F39" s="25">
        <v>29554.2</v>
      </c>
      <c r="G39" s="25">
        <v>795.3</v>
      </c>
      <c r="H39" s="25">
        <v>42174.6</v>
      </c>
      <c r="I39" s="56"/>
      <c r="J39" s="25">
        <v>1900.1</v>
      </c>
      <c r="K39" s="25">
        <v>730.09999999999991</v>
      </c>
      <c r="L39" s="25">
        <v>288.3</v>
      </c>
      <c r="M39" s="25">
        <v>4219.2</v>
      </c>
      <c r="N39" s="25">
        <v>47.3</v>
      </c>
    </row>
    <row r="40" spans="2:14" x14ac:dyDescent="0.3">
      <c r="B40" s="55">
        <v>2018</v>
      </c>
      <c r="C40" s="25">
        <v>692</v>
      </c>
      <c r="D40" s="25">
        <v>55119.299999999996</v>
      </c>
      <c r="E40" s="25">
        <v>151.6</v>
      </c>
      <c r="F40" s="25">
        <v>29045.1</v>
      </c>
      <c r="G40" s="25">
        <v>810.8</v>
      </c>
      <c r="H40" s="25">
        <v>43003.1</v>
      </c>
      <c r="I40" s="56"/>
      <c r="J40" s="25">
        <v>1878.4</v>
      </c>
      <c r="K40" s="25">
        <v>647.6</v>
      </c>
      <c r="L40" s="25">
        <v>203.4</v>
      </c>
      <c r="M40" s="25">
        <v>3985.1</v>
      </c>
      <c r="N40" s="25">
        <v>48.8</v>
      </c>
    </row>
    <row r="41" spans="2:14" x14ac:dyDescent="0.3">
      <c r="B41" s="55">
        <v>2019</v>
      </c>
      <c r="C41" s="25">
        <v>425.6</v>
      </c>
      <c r="D41" s="25">
        <v>51341.4</v>
      </c>
      <c r="E41" s="25">
        <v>104</v>
      </c>
      <c r="F41" s="25">
        <v>30140.9</v>
      </c>
      <c r="G41" s="25">
        <v>583.1</v>
      </c>
      <c r="H41" s="25">
        <v>44787.899999999994</v>
      </c>
      <c r="I41" s="56"/>
      <c r="J41" s="25">
        <v>1832.3</v>
      </c>
      <c r="K41" s="25">
        <v>660.9</v>
      </c>
      <c r="L41" s="25">
        <v>154.6</v>
      </c>
      <c r="M41" s="25">
        <v>4453.6000000000004</v>
      </c>
      <c r="N41" s="25">
        <v>52.1</v>
      </c>
    </row>
    <row r="42" spans="2:14" x14ac:dyDescent="0.3">
      <c r="B42" s="55">
        <v>2020</v>
      </c>
      <c r="C42" s="25">
        <v>145.9</v>
      </c>
      <c r="D42" s="25">
        <v>56069.700000000004</v>
      </c>
      <c r="E42" s="25">
        <v>209.2</v>
      </c>
      <c r="F42" s="25">
        <v>29521.3</v>
      </c>
      <c r="G42" s="25">
        <v>635.5</v>
      </c>
      <c r="H42" s="25">
        <v>38437</v>
      </c>
      <c r="I42" s="56"/>
      <c r="J42" s="25">
        <v>1619.7</v>
      </c>
      <c r="K42" s="25">
        <v>612.9</v>
      </c>
      <c r="L42" s="25">
        <v>0</v>
      </c>
      <c r="M42" s="25">
        <v>4161.8999999999996</v>
      </c>
      <c r="N42" s="25">
        <v>48.5</v>
      </c>
    </row>
    <row r="43" spans="2:14" x14ac:dyDescent="0.3">
      <c r="B43" s="55">
        <v>2021</v>
      </c>
      <c r="C43" s="25">
        <v>0</v>
      </c>
      <c r="D43" s="25">
        <v>59466.600000000006</v>
      </c>
      <c r="E43" s="25">
        <v>154.1</v>
      </c>
      <c r="F43" s="25">
        <v>28674.7</v>
      </c>
      <c r="G43" s="25">
        <v>711.9</v>
      </c>
      <c r="H43" s="25">
        <v>31113.1</v>
      </c>
      <c r="I43" s="56"/>
      <c r="J43" s="25">
        <v>1832.3</v>
      </c>
      <c r="K43" s="25">
        <v>652.9</v>
      </c>
      <c r="L43" s="25">
        <v>0</v>
      </c>
      <c r="M43" s="25">
        <v>4110.7</v>
      </c>
      <c r="N43" s="25">
        <v>49.8</v>
      </c>
    </row>
  </sheetData>
  <hyperlinks>
    <hyperlink ref="F1" r:id="rId1" xr:uid="{A3B88946-0B0D-4F8E-937F-000E90B0D81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0018-3C3F-433E-91AE-727650AFC4F8}">
  <dimension ref="A1:D42"/>
  <sheetViews>
    <sheetView workbookViewId="0">
      <selection sqref="A1:E16"/>
    </sheetView>
  </sheetViews>
  <sheetFormatPr defaultRowHeight="14.4" x14ac:dyDescent="0.3"/>
  <cols>
    <col min="1" max="1" width="5" bestFit="1" customWidth="1"/>
    <col min="2" max="3" width="9.88671875" bestFit="1" customWidth="1"/>
    <col min="4" max="4" width="9.6640625" bestFit="1" customWidth="1"/>
  </cols>
  <sheetData>
    <row r="1" spans="1:4" x14ac:dyDescent="0.3">
      <c r="A1" t="s">
        <v>169</v>
      </c>
    </row>
    <row r="3" spans="1:4" x14ac:dyDescent="0.3">
      <c r="D3" s="132" t="s">
        <v>171</v>
      </c>
    </row>
    <row r="4" spans="1:4" x14ac:dyDescent="0.3">
      <c r="A4" s="58" t="s">
        <v>24</v>
      </c>
      <c r="B4" s="58" t="s">
        <v>170</v>
      </c>
      <c r="C4" s="80" t="s">
        <v>97</v>
      </c>
      <c r="D4" s="133" t="s">
        <v>172</v>
      </c>
    </row>
    <row r="5" spans="1:4" x14ac:dyDescent="0.3">
      <c r="A5" s="56">
        <v>2019</v>
      </c>
      <c r="B5" s="25">
        <v>35228822</v>
      </c>
      <c r="C5" s="25">
        <v>24648769.513000008</v>
      </c>
    </row>
    <row r="6" spans="1:4" x14ac:dyDescent="0.3">
      <c r="A6" s="56">
        <v>2020</v>
      </c>
      <c r="B6" s="25">
        <v>30435778</v>
      </c>
      <c r="C6" s="25">
        <v>26718996.961999986</v>
      </c>
      <c r="D6" s="25">
        <f>B6-B5</f>
        <v>-4793044</v>
      </c>
    </row>
    <row r="7" spans="1:4" x14ac:dyDescent="0.3">
      <c r="A7" s="56">
        <v>2021</v>
      </c>
      <c r="B7" s="25">
        <v>29056270</v>
      </c>
      <c r="C7" s="25">
        <v>28361711.656999975</v>
      </c>
      <c r="D7" s="25">
        <f t="shared" ref="D7:D16" si="0">B7-B6</f>
        <v>-1379508</v>
      </c>
    </row>
    <row r="8" spans="1:4" x14ac:dyDescent="0.3">
      <c r="A8" s="56">
        <v>2022</v>
      </c>
      <c r="B8" s="25">
        <v>28175777</v>
      </c>
      <c r="D8" s="25">
        <f t="shared" si="0"/>
        <v>-880493</v>
      </c>
    </row>
    <row r="9" spans="1:4" x14ac:dyDescent="0.3">
      <c r="A9" s="56">
        <v>2023</v>
      </c>
      <c r="B9" s="25">
        <v>27295284</v>
      </c>
      <c r="D9" s="25">
        <f t="shared" si="0"/>
        <v>-880493</v>
      </c>
    </row>
    <row r="10" spans="1:4" x14ac:dyDescent="0.3">
      <c r="A10" s="56">
        <v>2024</v>
      </c>
      <c r="B10" s="25">
        <v>26414791</v>
      </c>
      <c r="D10" s="25">
        <f t="shared" si="0"/>
        <v>-880493</v>
      </c>
    </row>
    <row r="11" spans="1:4" x14ac:dyDescent="0.3">
      <c r="A11" s="56">
        <v>2025</v>
      </c>
      <c r="B11" s="25">
        <v>25534298</v>
      </c>
      <c r="D11" s="25">
        <f t="shared" si="0"/>
        <v>-880493</v>
      </c>
    </row>
    <row r="12" spans="1:4" x14ac:dyDescent="0.3">
      <c r="A12" s="56">
        <v>2026</v>
      </c>
      <c r="B12" s="25">
        <v>24653805</v>
      </c>
      <c r="D12" s="25">
        <f t="shared" si="0"/>
        <v>-880493</v>
      </c>
    </row>
    <row r="13" spans="1:4" x14ac:dyDescent="0.3">
      <c r="A13" s="56">
        <v>2027</v>
      </c>
      <c r="B13" s="25">
        <v>23773312</v>
      </c>
      <c r="D13" s="25">
        <f t="shared" si="0"/>
        <v>-880493</v>
      </c>
    </row>
    <row r="14" spans="1:4" x14ac:dyDescent="0.3">
      <c r="A14" s="56">
        <v>2028</v>
      </c>
      <c r="B14" s="25">
        <v>22892819</v>
      </c>
      <c r="D14" s="25">
        <f t="shared" si="0"/>
        <v>-880493</v>
      </c>
    </row>
    <row r="15" spans="1:4" x14ac:dyDescent="0.3">
      <c r="A15" s="56">
        <v>2029</v>
      </c>
      <c r="B15" s="25">
        <v>22012326</v>
      </c>
      <c r="D15" s="25">
        <f t="shared" si="0"/>
        <v>-880493</v>
      </c>
    </row>
    <row r="16" spans="1:4" x14ac:dyDescent="0.3">
      <c r="A16" s="56">
        <v>2030</v>
      </c>
      <c r="B16" s="25">
        <v>21131833</v>
      </c>
      <c r="D16" s="25">
        <f t="shared" si="0"/>
        <v>-880493</v>
      </c>
    </row>
    <row r="17" spans="1:2" x14ac:dyDescent="0.3">
      <c r="B17" s="3"/>
    </row>
    <row r="18" spans="1:2" x14ac:dyDescent="0.3">
      <c r="B18" s="3"/>
    </row>
    <row r="19" spans="1:2" x14ac:dyDescent="0.3">
      <c r="A19" s="71" t="s">
        <v>168</v>
      </c>
      <c r="B19" s="3"/>
    </row>
    <row r="20" spans="1:2" ht="15.6" x14ac:dyDescent="0.3">
      <c r="A20" s="130" t="s">
        <v>156</v>
      </c>
    </row>
    <row r="21" spans="1:2" x14ac:dyDescent="0.3">
      <c r="A21" s="131"/>
    </row>
    <row r="22" spans="1:2" ht="15.6" x14ac:dyDescent="0.3">
      <c r="A22" s="130" t="s">
        <v>157</v>
      </c>
    </row>
    <row r="23" spans="1:2" x14ac:dyDescent="0.3">
      <c r="A23" s="131"/>
    </row>
    <row r="24" spans="1:2" ht="15.6" x14ac:dyDescent="0.3">
      <c r="A24" s="130" t="s">
        <v>158</v>
      </c>
    </row>
    <row r="25" spans="1:2" x14ac:dyDescent="0.3">
      <c r="A25" s="131"/>
    </row>
    <row r="26" spans="1:2" ht="15.6" x14ac:dyDescent="0.3">
      <c r="A26" s="130" t="s">
        <v>159</v>
      </c>
    </row>
    <row r="27" spans="1:2" x14ac:dyDescent="0.3">
      <c r="A27" s="131"/>
    </row>
    <row r="28" spans="1:2" ht="15.6" x14ac:dyDescent="0.3">
      <c r="A28" s="130" t="s">
        <v>160</v>
      </c>
    </row>
    <row r="29" spans="1:2" x14ac:dyDescent="0.3">
      <c r="A29" s="131"/>
    </row>
    <row r="30" spans="1:2" ht="15.6" x14ac:dyDescent="0.3">
      <c r="A30" s="130" t="s">
        <v>161</v>
      </c>
    </row>
    <row r="31" spans="1:2" x14ac:dyDescent="0.3">
      <c r="A31" s="131"/>
    </row>
    <row r="32" spans="1:2" ht="15.6" x14ac:dyDescent="0.3">
      <c r="A32" s="130" t="s">
        <v>162</v>
      </c>
    </row>
    <row r="33" spans="1:1" x14ac:dyDescent="0.3">
      <c r="A33" s="131"/>
    </row>
    <row r="34" spans="1:1" ht="15.6" x14ac:dyDescent="0.3">
      <c r="A34" s="130" t="s">
        <v>163</v>
      </c>
    </row>
    <row r="35" spans="1:1" x14ac:dyDescent="0.3">
      <c r="A35" s="131"/>
    </row>
    <row r="36" spans="1:1" ht="15.6" x14ac:dyDescent="0.3">
      <c r="A36" s="130" t="s">
        <v>164</v>
      </c>
    </row>
    <row r="37" spans="1:1" x14ac:dyDescent="0.3">
      <c r="A37" s="131"/>
    </row>
    <row r="38" spans="1:1" ht="15.6" x14ac:dyDescent="0.3">
      <c r="A38" s="130" t="s">
        <v>165</v>
      </c>
    </row>
    <row r="39" spans="1:1" x14ac:dyDescent="0.3">
      <c r="A39" s="131"/>
    </row>
    <row r="40" spans="1:1" ht="15.6" x14ac:dyDescent="0.3">
      <c r="A40" s="130" t="s">
        <v>166</v>
      </c>
    </row>
    <row r="41" spans="1:1" x14ac:dyDescent="0.3">
      <c r="A41" s="131"/>
    </row>
    <row r="42" spans="1:1" ht="15.6" x14ac:dyDescent="0.3">
      <c r="A42" s="130" t="s">
        <v>167</v>
      </c>
    </row>
  </sheetData>
  <hyperlinks>
    <hyperlink ref="A19" r:id="rId1" xr:uid="{AF11E4DA-45D1-4D46-8BB5-0CF11DBB0EB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B095-95E3-4C89-97FF-8B9DD0092B9C}">
  <dimension ref="A1:G12"/>
  <sheetViews>
    <sheetView workbookViewId="0"/>
  </sheetViews>
  <sheetFormatPr defaultRowHeight="14.4" x14ac:dyDescent="0.3"/>
  <cols>
    <col min="1" max="1" width="32.5546875" bestFit="1" customWidth="1"/>
    <col min="2" max="2" width="11" bestFit="1" customWidth="1"/>
    <col min="3" max="3" width="10.5546875" bestFit="1" customWidth="1"/>
    <col min="4" max="4" width="9.88671875" bestFit="1" customWidth="1"/>
  </cols>
  <sheetData>
    <row r="1" spans="1:7" x14ac:dyDescent="0.3">
      <c r="A1" t="s">
        <v>4</v>
      </c>
    </row>
    <row r="2" spans="1:7" x14ac:dyDescent="0.3">
      <c r="A2" t="s">
        <v>69</v>
      </c>
      <c r="B2" s="71" t="s">
        <v>70</v>
      </c>
    </row>
    <row r="4" spans="1:7" x14ac:dyDescent="0.3">
      <c r="A4" s="2" t="s">
        <v>0</v>
      </c>
      <c r="B4" t="s">
        <v>2</v>
      </c>
      <c r="C4" t="s">
        <v>2</v>
      </c>
      <c r="D4" t="s">
        <v>2</v>
      </c>
    </row>
    <row r="5" spans="1:7" x14ac:dyDescent="0.3">
      <c r="A5" s="2" t="s">
        <v>1</v>
      </c>
      <c r="B5" s="1">
        <v>44742</v>
      </c>
      <c r="C5" s="1">
        <v>44561</v>
      </c>
      <c r="D5" s="1">
        <v>44377</v>
      </c>
    </row>
    <row r="6" spans="1:7" x14ac:dyDescent="0.3">
      <c r="A6" s="2" t="s">
        <v>3</v>
      </c>
      <c r="B6" s="3">
        <v>1477039</v>
      </c>
      <c r="C6" s="3">
        <v>1359213</v>
      </c>
      <c r="D6" s="3">
        <v>1238701</v>
      </c>
      <c r="E6" s="3"/>
      <c r="F6" s="3"/>
      <c r="G6" s="3"/>
    </row>
    <row r="7" spans="1:7" x14ac:dyDescent="0.3">
      <c r="A7" s="2" t="s">
        <v>5</v>
      </c>
      <c r="B7" s="3">
        <v>115999</v>
      </c>
      <c r="C7" s="3">
        <v>87724</v>
      </c>
      <c r="D7" s="3">
        <v>71471</v>
      </c>
      <c r="E7" s="3"/>
      <c r="F7" s="3"/>
      <c r="G7" s="3"/>
    </row>
    <row r="8" spans="1:7" x14ac:dyDescent="0.3">
      <c r="A8" s="2" t="s">
        <v>6</v>
      </c>
      <c r="B8" s="3">
        <v>1593038</v>
      </c>
      <c r="C8" s="3">
        <v>1446937</v>
      </c>
      <c r="D8" s="3">
        <v>1310172</v>
      </c>
      <c r="E8" s="3"/>
      <c r="F8" s="3"/>
      <c r="G8" s="3"/>
    </row>
    <row r="9" spans="1:7" x14ac:dyDescent="0.3">
      <c r="A9" s="2" t="s">
        <v>7</v>
      </c>
      <c r="B9" s="3">
        <v>28168825</v>
      </c>
      <c r="C9" s="3">
        <v>25806378</v>
      </c>
      <c r="D9" s="3">
        <v>23719156</v>
      </c>
      <c r="E9" s="3"/>
      <c r="F9" s="3"/>
      <c r="G9" s="3"/>
    </row>
    <row r="10" spans="1:7" x14ac:dyDescent="0.3">
      <c r="C10" s="3"/>
      <c r="D10" s="3"/>
      <c r="E10" s="3"/>
      <c r="F10" s="3"/>
      <c r="G10" s="3"/>
    </row>
    <row r="11" spans="1:7" x14ac:dyDescent="0.3">
      <c r="B11" s="3">
        <f>B9-C9</f>
        <v>2362447</v>
      </c>
      <c r="C11" s="3">
        <f>C9-D9</f>
        <v>2087222</v>
      </c>
      <c r="D11" s="3"/>
      <c r="E11" s="3"/>
      <c r="F11" s="3"/>
      <c r="G11" s="3"/>
    </row>
    <row r="12" spans="1:7" x14ac:dyDescent="0.3">
      <c r="C12" s="3"/>
      <c r="D12" s="3"/>
      <c r="E12" s="3"/>
      <c r="F12" s="3"/>
      <c r="G12" s="3"/>
    </row>
  </sheetData>
  <hyperlinks>
    <hyperlink ref="B2" r:id="rId1" xr:uid="{94B52726-07AC-4100-ABB7-BB511B9F57A8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FAC8-0E44-48FD-9E3D-01E387D8D757}">
  <dimension ref="A1:O33"/>
  <sheetViews>
    <sheetView workbookViewId="0">
      <selection activeCell="B29" sqref="B29:G31"/>
    </sheetView>
  </sheetViews>
  <sheetFormatPr defaultRowHeight="14.4" x14ac:dyDescent="0.3"/>
  <cols>
    <col min="1" max="1" width="5" bestFit="1" customWidth="1"/>
    <col min="2" max="4" width="9.88671875" bestFit="1" customWidth="1"/>
    <col min="5" max="5" width="10.6640625" bestFit="1" customWidth="1"/>
    <col min="6" max="6" width="10.6640625" customWidth="1"/>
    <col min="7" max="7" width="8.88671875" bestFit="1" customWidth="1"/>
    <col min="8" max="11" width="10.88671875" bestFit="1" customWidth="1"/>
    <col min="12" max="12" width="10.88671875" customWidth="1"/>
    <col min="13" max="13" width="12" bestFit="1" customWidth="1"/>
  </cols>
  <sheetData>
    <row r="1" spans="1:15" x14ac:dyDescent="0.3">
      <c r="A1" s="9" t="s">
        <v>19</v>
      </c>
    </row>
    <row r="2" spans="1:15" ht="15" thickBot="1" x14ac:dyDescent="0.35"/>
    <row r="3" spans="1:15" x14ac:dyDescent="0.3">
      <c r="A3" s="10"/>
      <c r="B3" s="151" t="s">
        <v>21</v>
      </c>
      <c r="C3" s="152"/>
      <c r="D3" s="152"/>
      <c r="E3" s="152"/>
      <c r="F3" s="173"/>
      <c r="G3" s="153"/>
      <c r="H3" s="151" t="s">
        <v>23</v>
      </c>
      <c r="I3" s="152"/>
      <c r="J3" s="152"/>
      <c r="K3" s="152"/>
      <c r="L3" s="173"/>
      <c r="M3" s="153"/>
    </row>
    <row r="4" spans="1:15" ht="15" thickBot="1" x14ac:dyDescent="0.35">
      <c r="A4" s="11" t="s">
        <v>24</v>
      </c>
      <c r="B4" s="12" t="s">
        <v>10</v>
      </c>
      <c r="C4" s="13" t="s">
        <v>26</v>
      </c>
      <c r="D4" s="13" t="s">
        <v>27</v>
      </c>
      <c r="E4" s="13" t="s">
        <v>28</v>
      </c>
      <c r="F4" s="7" t="s">
        <v>29</v>
      </c>
      <c r="G4" s="7" t="s">
        <v>25</v>
      </c>
      <c r="H4" s="7" t="s">
        <v>10</v>
      </c>
      <c r="I4" s="7" t="s">
        <v>26</v>
      </c>
      <c r="J4" s="7" t="s">
        <v>27</v>
      </c>
      <c r="K4" s="7" t="s">
        <v>28</v>
      </c>
      <c r="L4" s="7" t="s">
        <v>29</v>
      </c>
      <c r="M4" s="7" t="s">
        <v>89</v>
      </c>
    </row>
    <row r="5" spans="1:15" hidden="1" x14ac:dyDescent="0.3">
      <c r="A5" s="15">
        <v>1995</v>
      </c>
      <c r="B5" s="17">
        <v>0</v>
      </c>
      <c r="C5" s="18">
        <v>0</v>
      </c>
      <c r="D5" s="18">
        <v>0</v>
      </c>
      <c r="E5" s="18">
        <v>0</v>
      </c>
      <c r="F5" s="25">
        <v>0</v>
      </c>
      <c r="G5" s="56"/>
      <c r="H5" s="25">
        <v>390222311</v>
      </c>
      <c r="I5" s="25">
        <v>224557821</v>
      </c>
      <c r="J5" s="25">
        <v>116971758</v>
      </c>
      <c r="K5" s="25">
        <v>48692732</v>
      </c>
      <c r="L5" s="25">
        <v>0</v>
      </c>
      <c r="M5" s="56"/>
      <c r="N5" s="79">
        <v>0</v>
      </c>
      <c r="O5" s="21">
        <v>0</v>
      </c>
    </row>
    <row r="6" spans="1:15" hidden="1" x14ac:dyDescent="0.3">
      <c r="A6" s="22">
        <v>1996</v>
      </c>
      <c r="B6" s="27">
        <v>0</v>
      </c>
      <c r="C6" s="20">
        <v>0</v>
      </c>
      <c r="D6" s="20">
        <v>0</v>
      </c>
      <c r="E6" s="20">
        <v>0</v>
      </c>
      <c r="F6" s="25">
        <v>0</v>
      </c>
      <c r="G6" s="56"/>
      <c r="H6" s="25">
        <v>394147493</v>
      </c>
      <c r="I6" s="25">
        <v>232444404</v>
      </c>
      <c r="J6" s="25">
        <v>124952037</v>
      </c>
      <c r="K6" s="25">
        <v>36751052</v>
      </c>
      <c r="L6" s="25">
        <v>0</v>
      </c>
      <c r="M6" s="56"/>
    </row>
    <row r="7" spans="1:15" hidden="1" x14ac:dyDescent="0.3">
      <c r="A7" s="22">
        <v>1997</v>
      </c>
      <c r="B7" s="27">
        <v>42388134.5</v>
      </c>
      <c r="C7" s="20">
        <v>22550685.75</v>
      </c>
      <c r="D7" s="20">
        <v>14894675.75</v>
      </c>
      <c r="E7" s="20">
        <v>4942773</v>
      </c>
      <c r="F7" s="25">
        <v>0</v>
      </c>
      <c r="G7" s="56"/>
      <c r="H7" s="25">
        <v>484795975.17700005</v>
      </c>
      <c r="I7" s="25">
        <v>244754120.46799999</v>
      </c>
      <c r="J7" s="25">
        <v>171426816.859</v>
      </c>
      <c r="K7" s="25">
        <v>68615037.850000009</v>
      </c>
      <c r="L7" s="25">
        <v>0</v>
      </c>
      <c r="M7" s="56"/>
    </row>
    <row r="8" spans="1:15" hidden="1" x14ac:dyDescent="0.3">
      <c r="A8" s="22">
        <v>1998</v>
      </c>
      <c r="B8" s="27">
        <v>49441938</v>
      </c>
      <c r="C8" s="20">
        <v>24256034.5</v>
      </c>
      <c r="D8" s="20">
        <v>20288369.5</v>
      </c>
      <c r="E8" s="20">
        <v>4170656</v>
      </c>
      <c r="F8" s="25">
        <v>0</v>
      </c>
      <c r="G8" s="56"/>
      <c r="H8" s="25">
        <v>586212106.97900009</v>
      </c>
      <c r="I8" s="25">
        <v>270777277.17300004</v>
      </c>
      <c r="J8" s="25">
        <v>239789786.80599999</v>
      </c>
      <c r="K8" s="25">
        <v>66901420.950000003</v>
      </c>
      <c r="L8" s="25">
        <v>0</v>
      </c>
      <c r="M8" s="56"/>
    </row>
    <row r="9" spans="1:15" hidden="1" x14ac:dyDescent="0.3">
      <c r="A9" s="22">
        <v>1999</v>
      </c>
      <c r="B9" s="27">
        <v>57529681</v>
      </c>
      <c r="C9" s="20">
        <v>22090837.5</v>
      </c>
      <c r="D9" s="20">
        <v>26905984.5</v>
      </c>
      <c r="E9" s="20">
        <v>7872503.25</v>
      </c>
      <c r="F9" s="25">
        <v>0</v>
      </c>
      <c r="G9" s="56"/>
      <c r="H9" s="25">
        <v>713708170.9799999</v>
      </c>
      <c r="I9" s="25">
        <v>239238286.89700001</v>
      </c>
      <c r="J9" s="25">
        <v>345797729.70800006</v>
      </c>
      <c r="K9" s="25">
        <v>119586839.09999999</v>
      </c>
      <c r="L9" s="25">
        <v>0</v>
      </c>
      <c r="M9" s="56"/>
    </row>
    <row r="10" spans="1:15" hidden="1" x14ac:dyDescent="0.3">
      <c r="A10" s="22">
        <v>2000</v>
      </c>
      <c r="B10" s="27">
        <v>52847410.11999999</v>
      </c>
      <c r="C10" s="20">
        <v>20972027.82</v>
      </c>
      <c r="D10" s="20">
        <v>22418117.290000003</v>
      </c>
      <c r="E10" s="20">
        <v>8653447.5</v>
      </c>
      <c r="F10" s="25">
        <v>0</v>
      </c>
      <c r="G10" s="56"/>
      <c r="H10" s="25">
        <v>667786986.89100003</v>
      </c>
      <c r="I10" s="25">
        <v>250035302.60199997</v>
      </c>
      <c r="J10" s="25">
        <v>286442149.79200006</v>
      </c>
      <c r="K10" s="25">
        <v>120336119.825</v>
      </c>
      <c r="L10" s="25">
        <v>0</v>
      </c>
      <c r="M10" s="56"/>
    </row>
    <row r="11" spans="1:15" hidden="1" x14ac:dyDescent="0.3">
      <c r="A11" s="22">
        <v>2001</v>
      </c>
      <c r="B11" s="27">
        <v>55286659.279999994</v>
      </c>
      <c r="C11" s="20">
        <v>19673250.229999997</v>
      </c>
      <c r="D11" s="20">
        <v>22460282.580000002</v>
      </c>
      <c r="E11" s="20">
        <v>13153126.470000001</v>
      </c>
      <c r="F11" s="25">
        <v>0</v>
      </c>
      <c r="G11" s="56"/>
      <c r="H11" s="25">
        <v>659835399.95700026</v>
      </c>
      <c r="I11" s="25">
        <v>230008449.44400001</v>
      </c>
      <c r="J11" s="25">
        <v>283380036.88099998</v>
      </c>
      <c r="K11" s="25">
        <v>146446913.632</v>
      </c>
      <c r="L11" s="25">
        <v>0</v>
      </c>
      <c r="M11" s="56"/>
    </row>
    <row r="12" spans="1:15" hidden="1" x14ac:dyDescent="0.3">
      <c r="A12" s="22">
        <v>2002</v>
      </c>
      <c r="B12" s="27">
        <v>54475946.409999982</v>
      </c>
      <c r="C12" s="20">
        <v>19598397.5</v>
      </c>
      <c r="D12" s="20">
        <v>20452608.049999997</v>
      </c>
      <c r="E12" s="20">
        <v>14424940.859999999</v>
      </c>
      <c r="F12" s="25">
        <v>0</v>
      </c>
      <c r="G12" s="56"/>
      <c r="H12" s="25">
        <v>652413289.62899983</v>
      </c>
      <c r="I12" s="25">
        <v>235950082.00999996</v>
      </c>
      <c r="J12" s="25">
        <v>256976609.16799998</v>
      </c>
      <c r="K12" s="25">
        <v>159486598.45100001</v>
      </c>
      <c r="L12" s="25">
        <v>0</v>
      </c>
      <c r="M12" s="56"/>
    </row>
    <row r="13" spans="1:15" hidden="1" x14ac:dyDescent="0.3">
      <c r="A13" s="22">
        <v>2003</v>
      </c>
      <c r="B13" s="27">
        <v>57649511.799999997</v>
      </c>
      <c r="C13" s="20">
        <v>22618773.280000001</v>
      </c>
      <c r="D13" s="20">
        <v>22159367.850000001</v>
      </c>
      <c r="E13" s="20">
        <v>12871370.669999998</v>
      </c>
      <c r="F13" s="25">
        <v>0</v>
      </c>
      <c r="G13" s="56"/>
      <c r="H13" s="25">
        <v>647208700.95200026</v>
      </c>
      <c r="I13" s="25">
        <v>239725075.75899994</v>
      </c>
      <c r="J13" s="25">
        <v>265684639.11200002</v>
      </c>
      <c r="K13" s="25">
        <v>141798986.08099997</v>
      </c>
      <c r="L13" s="25">
        <v>0</v>
      </c>
      <c r="M13" s="56"/>
    </row>
    <row r="14" spans="1:15" hidden="1" x14ac:dyDescent="0.3">
      <c r="A14" s="22">
        <v>2004</v>
      </c>
      <c r="B14" s="27">
        <v>61195819.739999995</v>
      </c>
      <c r="C14" s="20">
        <v>22126750.790000003</v>
      </c>
      <c r="D14" s="20">
        <v>21959905.969999999</v>
      </c>
      <c r="E14" s="20">
        <v>17109162.979999997</v>
      </c>
      <c r="F14" s="25">
        <v>0</v>
      </c>
      <c r="G14" s="56"/>
      <c r="H14" s="25">
        <v>679722558.55299938</v>
      </c>
      <c r="I14" s="25">
        <v>230661725.9320001</v>
      </c>
      <c r="J14" s="25">
        <v>261136896.74000001</v>
      </c>
      <c r="K14" s="25">
        <v>187923935.88099998</v>
      </c>
      <c r="L14" s="25">
        <v>0</v>
      </c>
      <c r="M14" s="56"/>
    </row>
    <row r="15" spans="1:15" hidden="1" x14ac:dyDescent="0.3">
      <c r="A15" s="22">
        <v>2005</v>
      </c>
      <c r="B15" s="27">
        <v>67467938.63000001</v>
      </c>
      <c r="C15" s="20">
        <v>20923714.669999998</v>
      </c>
      <c r="D15" s="20">
        <v>24126776.050000001</v>
      </c>
      <c r="E15" s="20">
        <v>22417447.910000004</v>
      </c>
      <c r="F15" s="25">
        <v>0</v>
      </c>
      <c r="G15" s="56"/>
      <c r="H15" s="25">
        <v>698650824.08899999</v>
      </c>
      <c r="I15" s="25">
        <v>217711761.63299996</v>
      </c>
      <c r="J15" s="25">
        <v>266176090.90599999</v>
      </c>
      <c r="K15" s="25">
        <v>214762971.55000007</v>
      </c>
      <c r="L15" s="25">
        <v>0</v>
      </c>
      <c r="M15" s="56"/>
    </row>
    <row r="16" spans="1:15" hidden="1" x14ac:dyDescent="0.3">
      <c r="A16" s="22">
        <v>2006</v>
      </c>
      <c r="B16" s="27">
        <v>62881362.210000008</v>
      </c>
      <c r="C16" s="20">
        <v>20731423.510000002</v>
      </c>
      <c r="D16" s="20">
        <v>13747023.18</v>
      </c>
      <c r="E16" s="20">
        <v>28402915.519999992</v>
      </c>
      <c r="F16" s="25">
        <v>0</v>
      </c>
      <c r="G16" s="56"/>
      <c r="H16" s="25">
        <v>622916514.34599996</v>
      </c>
      <c r="I16" s="25">
        <v>216118543.20599994</v>
      </c>
      <c r="J16" s="25">
        <v>153930828.64900002</v>
      </c>
      <c r="K16" s="25">
        <v>252867142.491</v>
      </c>
      <c r="L16" s="25">
        <v>0</v>
      </c>
      <c r="M16" s="56"/>
    </row>
    <row r="17" spans="1:13" hidden="1" x14ac:dyDescent="0.3">
      <c r="A17" s="22">
        <v>2007</v>
      </c>
      <c r="B17" s="27">
        <v>68490235.74999997</v>
      </c>
      <c r="C17" s="20">
        <v>21038792.550000001</v>
      </c>
      <c r="D17" s="20">
        <v>14158322.65</v>
      </c>
      <c r="E17" s="20">
        <v>33293120.550000001</v>
      </c>
      <c r="F17" s="25">
        <v>0</v>
      </c>
      <c r="G17" s="56"/>
      <c r="H17" s="25">
        <v>653896237.06200016</v>
      </c>
      <c r="I17" s="25">
        <v>213362240.30000001</v>
      </c>
      <c r="J17" s="25">
        <v>154162341.255</v>
      </c>
      <c r="K17" s="25">
        <v>286371655.50699997</v>
      </c>
      <c r="L17" s="25">
        <v>0</v>
      </c>
      <c r="M17" s="56"/>
    </row>
    <row r="18" spans="1:13" hidden="1" x14ac:dyDescent="0.3">
      <c r="A18" s="22">
        <v>2008</v>
      </c>
      <c r="B18" s="27">
        <v>65169456.709999964</v>
      </c>
      <c r="C18" s="20">
        <v>18477773.82</v>
      </c>
      <c r="D18" s="20">
        <v>11869247.68</v>
      </c>
      <c r="E18" s="20">
        <v>34489456.31000001</v>
      </c>
      <c r="F18" s="25">
        <v>332978.90000000002</v>
      </c>
      <c r="G18" s="56"/>
      <c r="H18" s="25">
        <v>632755231.95200014</v>
      </c>
      <c r="I18" s="25">
        <v>193235773.40099999</v>
      </c>
      <c r="J18" s="25">
        <v>133285489.043</v>
      </c>
      <c r="K18" s="25">
        <v>302153195.68400007</v>
      </c>
      <c r="L18" s="25">
        <v>4080773.824</v>
      </c>
      <c r="M18" s="56"/>
    </row>
    <row r="19" spans="1:13" hidden="1" x14ac:dyDescent="0.3">
      <c r="A19" s="22">
        <v>2009</v>
      </c>
      <c r="B19" s="27">
        <v>57651889.140000008</v>
      </c>
      <c r="C19" s="20">
        <v>12893409.630000001</v>
      </c>
      <c r="D19" s="20">
        <v>9905014.790000001</v>
      </c>
      <c r="E19" s="20">
        <v>34696280.010000005</v>
      </c>
      <c r="F19" s="25">
        <v>157184.71</v>
      </c>
      <c r="G19" s="56"/>
      <c r="H19" s="25">
        <v>534677752.38399994</v>
      </c>
      <c r="I19" s="25">
        <v>131779357.02899998</v>
      </c>
      <c r="J19" s="25">
        <v>98471943.374999985</v>
      </c>
      <c r="K19" s="25">
        <v>302529913.41399997</v>
      </c>
      <c r="L19" s="25">
        <v>1896538.5660000001</v>
      </c>
      <c r="M19" s="56"/>
    </row>
    <row r="20" spans="1:13" hidden="1" x14ac:dyDescent="0.3">
      <c r="A20" s="22">
        <v>2010</v>
      </c>
      <c r="B20" s="27">
        <v>64658696.690000013</v>
      </c>
      <c r="C20" s="20">
        <v>14165272.879999999</v>
      </c>
      <c r="D20" s="20">
        <v>10378923.399999997</v>
      </c>
      <c r="E20" s="20">
        <v>40048407.950000003</v>
      </c>
      <c r="F20" s="25">
        <v>66092.460000000006</v>
      </c>
      <c r="G20" s="56"/>
      <c r="H20" s="25">
        <v>601324759.71600068</v>
      </c>
      <c r="I20" s="25">
        <v>144629833.99299997</v>
      </c>
      <c r="J20" s="25">
        <v>106834217.72699998</v>
      </c>
      <c r="K20" s="25">
        <v>349009002.28499991</v>
      </c>
      <c r="L20" s="25">
        <v>851705.71100000001</v>
      </c>
      <c r="M20" s="56"/>
    </row>
    <row r="21" spans="1:13" hidden="1" x14ac:dyDescent="0.3">
      <c r="A21" s="22">
        <v>2011</v>
      </c>
      <c r="B21" s="27">
        <v>61057585.76000002</v>
      </c>
      <c r="C21" s="20">
        <v>9799608.6799999997</v>
      </c>
      <c r="D21" s="20">
        <v>5345544.3699999992</v>
      </c>
      <c r="E21" s="20">
        <v>45912432.710000008</v>
      </c>
      <c r="F21" s="25">
        <v>0</v>
      </c>
      <c r="G21" s="56"/>
      <c r="H21" s="25">
        <v>551169137.54299998</v>
      </c>
      <c r="I21" s="25">
        <v>100542993.77600002</v>
      </c>
      <c r="J21" s="25">
        <v>67070015.925999999</v>
      </c>
      <c r="K21" s="25">
        <v>383556127.84100008</v>
      </c>
      <c r="L21" s="25">
        <v>0</v>
      </c>
      <c r="M21" s="56"/>
    </row>
    <row r="22" spans="1:13" hidden="1" x14ac:dyDescent="0.3">
      <c r="A22" s="22">
        <v>2012</v>
      </c>
      <c r="B22" s="27">
        <v>63795067.930000015</v>
      </c>
      <c r="C22" s="78">
        <v>4427240.0299999993</v>
      </c>
      <c r="D22" s="78">
        <v>6023432.9199999999</v>
      </c>
      <c r="E22" s="78">
        <v>53205912.080000013</v>
      </c>
      <c r="F22" s="25">
        <v>138482.9</v>
      </c>
      <c r="G22" s="56"/>
      <c r="H22" s="25">
        <v>562170029.93999982</v>
      </c>
      <c r="I22" s="25">
        <v>48763330.718999997</v>
      </c>
      <c r="J22" s="25">
        <v>70980412.846000016</v>
      </c>
      <c r="K22" s="25">
        <v>440705771.45799953</v>
      </c>
      <c r="L22" s="25">
        <v>1720514.9169999999</v>
      </c>
      <c r="M22" s="56"/>
    </row>
    <row r="23" spans="1:13" x14ac:dyDescent="0.3">
      <c r="A23" s="22">
        <v>2013</v>
      </c>
      <c r="B23" s="27">
        <v>58800470.569999993</v>
      </c>
      <c r="C23" s="25">
        <v>4729949.6500000004</v>
      </c>
      <c r="D23" s="25">
        <v>5054748.6500000004</v>
      </c>
      <c r="E23" s="25">
        <v>48965448.099999994</v>
      </c>
      <c r="F23" s="25">
        <v>50324.17</v>
      </c>
      <c r="G23" s="25">
        <f>'Annual Benefits'!Z11</f>
        <v>79362</v>
      </c>
      <c r="H23" s="25">
        <v>527826835.55400008</v>
      </c>
      <c r="I23" s="25">
        <v>53022602.495000005</v>
      </c>
      <c r="J23" s="25">
        <v>62141699.858999997</v>
      </c>
      <c r="K23" s="25">
        <v>411956850.80799967</v>
      </c>
      <c r="L23" s="25">
        <v>705682.39199999999</v>
      </c>
      <c r="M23" s="25">
        <f>'Annual Benefits'!V11</f>
        <v>1373643</v>
      </c>
    </row>
    <row r="24" spans="1:13" x14ac:dyDescent="0.3">
      <c r="A24" s="22">
        <v>2014</v>
      </c>
      <c r="B24" s="27">
        <v>60019977.420000039</v>
      </c>
      <c r="C24" s="25">
        <v>4595359.7699999996</v>
      </c>
      <c r="D24" s="25">
        <v>4844760.6600000011</v>
      </c>
      <c r="E24" s="25">
        <v>50470351.560000017</v>
      </c>
      <c r="F24" s="25">
        <v>109505.43</v>
      </c>
      <c r="G24" s="25">
        <f>'Annual Benefits'!Z12</f>
        <v>255996</v>
      </c>
      <c r="H24" s="25">
        <v>537635655.71499979</v>
      </c>
      <c r="I24" s="25">
        <v>45191636.967</v>
      </c>
      <c r="J24" s="25">
        <v>55992912.155999996</v>
      </c>
      <c r="K24" s="25">
        <v>430251642.73099989</v>
      </c>
      <c r="L24" s="25">
        <v>6199463.8609999996</v>
      </c>
      <c r="M24" s="25">
        <f>'Annual Benefits'!V12</f>
        <v>2188496</v>
      </c>
    </row>
    <row r="25" spans="1:13" x14ac:dyDescent="0.3">
      <c r="A25" s="22">
        <v>2015</v>
      </c>
      <c r="B25" s="27">
        <v>59224915.870000049</v>
      </c>
      <c r="C25" s="25">
        <v>2182280.04</v>
      </c>
      <c r="D25" s="25">
        <v>5296413.17</v>
      </c>
      <c r="E25" s="25">
        <v>51701601.740000017</v>
      </c>
      <c r="F25" s="25">
        <v>44620.92</v>
      </c>
      <c r="G25" s="25">
        <f>'Annual Benefits'!Z13</f>
        <v>443918</v>
      </c>
      <c r="H25" s="25">
        <v>531977885.48000002</v>
      </c>
      <c r="I25" s="25">
        <v>21520220.752</v>
      </c>
      <c r="J25" s="25">
        <v>62537012.470000006</v>
      </c>
      <c r="K25" s="25">
        <v>442324540.49999988</v>
      </c>
      <c r="L25" s="25">
        <v>5596111.7579999994</v>
      </c>
      <c r="M25" s="25">
        <f>'Annual Benefits'!V13</f>
        <v>2631669</v>
      </c>
    </row>
    <row r="26" spans="1:13" x14ac:dyDescent="0.3">
      <c r="A26" s="22">
        <v>2016</v>
      </c>
      <c r="B26" s="27">
        <v>56541649.850000009</v>
      </c>
      <c r="C26" s="25">
        <v>1580031.71</v>
      </c>
      <c r="D26" s="25">
        <v>2436125.71</v>
      </c>
      <c r="E26" s="25">
        <v>52525492.430000007</v>
      </c>
      <c r="F26" s="25">
        <v>0</v>
      </c>
      <c r="G26" s="25">
        <f>'Annual Benefits'!Z14</f>
        <v>687796</v>
      </c>
      <c r="H26" s="25">
        <v>509790442.30599993</v>
      </c>
      <c r="I26" s="25">
        <v>15425933.396</v>
      </c>
      <c r="J26" s="25">
        <v>31013086.508000001</v>
      </c>
      <c r="K26" s="25">
        <v>457615913.28800011</v>
      </c>
      <c r="L26" s="25">
        <v>5735509.1140000001</v>
      </c>
      <c r="M26" s="25">
        <f>'Annual Benefits'!V14</f>
        <v>2728814</v>
      </c>
    </row>
    <row r="27" spans="1:13" x14ac:dyDescent="0.3">
      <c r="A27" s="22">
        <v>2017</v>
      </c>
      <c r="B27" s="27">
        <v>46268766.990000017</v>
      </c>
      <c r="C27" s="25">
        <v>811220.52</v>
      </c>
      <c r="D27" s="25">
        <v>1394198.27</v>
      </c>
      <c r="E27" s="25">
        <v>44063348.20000001</v>
      </c>
      <c r="F27" s="25">
        <v>0</v>
      </c>
      <c r="G27" s="25">
        <f>'Annual Benefits'!Z15</f>
        <v>1003014</v>
      </c>
      <c r="H27" s="25">
        <v>413877211.60400009</v>
      </c>
      <c r="I27" s="25">
        <v>8328069.6969999997</v>
      </c>
      <c r="J27" s="25">
        <v>14568743.101000002</v>
      </c>
      <c r="K27" s="25">
        <v>385098918.84200007</v>
      </c>
      <c r="L27" s="25">
        <v>5881479.9639999997</v>
      </c>
      <c r="M27" s="25">
        <f>'Annual Benefits'!V15</f>
        <v>3243676</v>
      </c>
    </row>
    <row r="28" spans="1:13" x14ac:dyDescent="0.3">
      <c r="A28" s="22">
        <v>2018</v>
      </c>
      <c r="B28" s="27">
        <v>50916129.160000004</v>
      </c>
      <c r="C28" s="25">
        <v>740729.97</v>
      </c>
      <c r="D28" s="25">
        <v>2317048.5999999996</v>
      </c>
      <c r="E28" s="25">
        <v>47858350.590000004</v>
      </c>
      <c r="F28" s="25">
        <v>0</v>
      </c>
      <c r="G28" s="25">
        <f>'Annual Benefits'!Z16</f>
        <v>1373753</v>
      </c>
      <c r="H28" s="25">
        <v>455564543.63000005</v>
      </c>
      <c r="I28" s="25">
        <v>6855388.3770000003</v>
      </c>
      <c r="J28" s="25">
        <v>23850768.093999997</v>
      </c>
      <c r="K28" s="25">
        <v>418872611.0620001</v>
      </c>
      <c r="L28" s="25">
        <v>5985776.0969999991</v>
      </c>
      <c r="M28" s="25">
        <f>'Annual Benefits'!V16</f>
        <v>3296867</v>
      </c>
    </row>
    <row r="29" spans="1:13" x14ac:dyDescent="0.3">
      <c r="A29" s="22">
        <v>2019</v>
      </c>
      <c r="B29" s="27">
        <v>46706946.269999996</v>
      </c>
      <c r="C29" s="25">
        <v>472135.27999999997</v>
      </c>
      <c r="D29" s="25">
        <v>1287515.5499999998</v>
      </c>
      <c r="E29" s="25">
        <v>44947295.439999998</v>
      </c>
      <c r="F29" s="25">
        <v>0</v>
      </c>
      <c r="G29" s="25">
        <f>'Annual Benefits'!Z17</f>
        <v>1054777</v>
      </c>
      <c r="H29" s="25">
        <v>409249660.86100006</v>
      </c>
      <c r="I29" s="25">
        <v>4600076.5839999998</v>
      </c>
      <c r="J29" s="25">
        <v>13675277.055999998</v>
      </c>
      <c r="K29" s="25">
        <v>385851883.90200007</v>
      </c>
      <c r="L29" s="25">
        <v>5122423.3190000001</v>
      </c>
      <c r="M29" s="25">
        <f>'Annual Benefits'!V17</f>
        <v>3267269</v>
      </c>
    </row>
    <row r="30" spans="1:13" x14ac:dyDescent="0.3">
      <c r="A30" s="22">
        <v>2020</v>
      </c>
      <c r="B30" s="27">
        <v>51353884.090000004</v>
      </c>
      <c r="C30" s="25">
        <v>160267.26</v>
      </c>
      <c r="D30" s="25">
        <v>586739.97</v>
      </c>
      <c r="E30" s="25">
        <v>50606876.860000007</v>
      </c>
      <c r="F30" s="25">
        <v>0</v>
      </c>
      <c r="G30" s="25">
        <f>'Annual Benefits'!Z18</f>
        <v>1792898</v>
      </c>
      <c r="H30" s="25">
        <v>445227067.1839999</v>
      </c>
      <c r="I30" s="25">
        <v>1699406.159</v>
      </c>
      <c r="J30" s="25">
        <v>6676603.818</v>
      </c>
      <c r="K30" s="25">
        <v>431206422.42900008</v>
      </c>
      <c r="L30" s="25">
        <v>5644634.7779999999</v>
      </c>
      <c r="M30" s="25">
        <f>'Annual Benefits'!V18</f>
        <v>6714938</v>
      </c>
    </row>
    <row r="31" spans="1:13" ht="15" thickBot="1" x14ac:dyDescent="0.35">
      <c r="A31" s="32">
        <v>2021</v>
      </c>
      <c r="B31" s="37">
        <v>55105910.560000002</v>
      </c>
      <c r="C31" s="25">
        <v>0</v>
      </c>
      <c r="D31" s="25">
        <v>379942.78</v>
      </c>
      <c r="E31" s="25">
        <v>54725967.780000001</v>
      </c>
      <c r="F31" s="25">
        <v>0</v>
      </c>
      <c r="G31" s="25">
        <f>'Annual Benefits'!Z19</f>
        <v>1922563</v>
      </c>
      <c r="H31" s="25">
        <v>473152222.90800005</v>
      </c>
      <c r="I31" s="25">
        <v>0</v>
      </c>
      <c r="J31" s="25">
        <v>4439458.5299999993</v>
      </c>
      <c r="K31" s="25">
        <v>462895409.92500007</v>
      </c>
      <c r="L31" s="25">
        <v>5817354.4529999997</v>
      </c>
      <c r="M31" s="25">
        <f>'Annual Benefits'!V19</f>
        <v>7862973</v>
      </c>
    </row>
    <row r="33" spans="1:1" x14ac:dyDescent="0.3">
      <c r="A33" s="8" t="s">
        <v>72</v>
      </c>
    </row>
  </sheetData>
  <mergeCells count="2">
    <mergeCell ref="B3:G3"/>
    <mergeCell ref="H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E369-4710-4708-AE16-A6A19A576B8F}">
  <dimension ref="A1:AK58"/>
  <sheetViews>
    <sheetView showGridLines="0" workbookViewId="0">
      <selection activeCell="G31" sqref="A29:G31"/>
    </sheetView>
  </sheetViews>
  <sheetFormatPr defaultRowHeight="14.4" x14ac:dyDescent="0.3"/>
  <cols>
    <col min="1" max="1" width="5" bestFit="1" customWidth="1"/>
    <col min="2" max="4" width="9.88671875" bestFit="1" customWidth="1"/>
    <col min="5" max="5" width="10.6640625" bestFit="1" customWidth="1"/>
    <col min="6" max="6" width="7.44140625" bestFit="1" customWidth="1"/>
    <col min="7" max="10" width="9.88671875" bestFit="1" customWidth="1"/>
    <col min="11" max="11" width="10.6640625" bestFit="1" customWidth="1"/>
    <col min="12" max="12" width="7.44140625" bestFit="1" customWidth="1"/>
    <col min="13" max="14" width="12.33203125" bestFit="1" customWidth="1"/>
    <col min="15" max="15" width="9.88671875" bestFit="1" customWidth="1"/>
    <col min="16" max="16" width="10.6640625" bestFit="1" customWidth="1"/>
    <col min="17" max="17" width="11" bestFit="1" customWidth="1"/>
    <col min="18" max="21" width="10.88671875" bestFit="1" customWidth="1"/>
    <col min="22" max="22" width="12" bestFit="1" customWidth="1"/>
    <col min="23" max="26" width="10.88671875" bestFit="1" customWidth="1"/>
    <col min="27" max="27" width="5.77734375" bestFit="1" customWidth="1"/>
    <col min="29" max="29" width="5" bestFit="1" customWidth="1"/>
    <col min="30" max="32" width="9.88671875" bestFit="1" customWidth="1"/>
    <col min="33" max="33" width="10.6640625" bestFit="1" customWidth="1"/>
  </cols>
  <sheetData>
    <row r="1" spans="1:37" x14ac:dyDescent="0.3">
      <c r="A1" s="9" t="s">
        <v>19</v>
      </c>
      <c r="G1" s="9"/>
    </row>
    <row r="2" spans="1:37" ht="15" thickBot="1" x14ac:dyDescent="0.35"/>
    <row r="3" spans="1:37" x14ac:dyDescent="0.3">
      <c r="A3" s="10"/>
      <c r="B3" s="148" t="s">
        <v>20</v>
      </c>
      <c r="C3" s="149"/>
      <c r="D3" s="149"/>
      <c r="E3" s="149"/>
      <c r="F3" s="149"/>
      <c r="G3" s="150"/>
      <c r="H3" s="151" t="s">
        <v>21</v>
      </c>
      <c r="I3" s="152"/>
      <c r="J3" s="152"/>
      <c r="K3" s="152"/>
      <c r="L3" s="153"/>
      <c r="M3" s="151" t="s">
        <v>22</v>
      </c>
      <c r="N3" s="152"/>
      <c r="O3" s="152"/>
      <c r="P3" s="152"/>
      <c r="Q3" s="153"/>
      <c r="R3" s="151" t="s">
        <v>23</v>
      </c>
      <c r="S3" s="152"/>
      <c r="T3" s="152"/>
      <c r="U3" s="152"/>
      <c r="V3" s="153"/>
      <c r="W3" s="151" t="s">
        <v>62</v>
      </c>
      <c r="X3" s="152"/>
      <c r="Y3" s="152"/>
      <c r="Z3" s="152"/>
      <c r="AA3" s="153"/>
    </row>
    <row r="4" spans="1:37" ht="15" thickBot="1" x14ac:dyDescent="0.35">
      <c r="A4" s="11" t="s">
        <v>24</v>
      </c>
      <c r="B4" s="40" t="s">
        <v>10</v>
      </c>
      <c r="C4" s="41" t="s">
        <v>26</v>
      </c>
      <c r="D4" s="41" t="s">
        <v>27</v>
      </c>
      <c r="E4" s="41" t="s">
        <v>28</v>
      </c>
      <c r="F4" s="42" t="s">
        <v>29</v>
      </c>
      <c r="G4" s="43" t="s">
        <v>25</v>
      </c>
      <c r="H4" s="12" t="s">
        <v>10</v>
      </c>
      <c r="I4" s="13" t="s">
        <v>26</v>
      </c>
      <c r="J4" s="13" t="s">
        <v>27</v>
      </c>
      <c r="K4" s="13" t="s">
        <v>28</v>
      </c>
      <c r="L4" s="14" t="s">
        <v>29</v>
      </c>
      <c r="M4" s="12" t="s">
        <v>10</v>
      </c>
      <c r="N4" s="13" t="s">
        <v>26</v>
      </c>
      <c r="O4" s="13" t="s">
        <v>27</v>
      </c>
      <c r="P4" s="13" t="s">
        <v>28</v>
      </c>
      <c r="Q4" s="14" t="s">
        <v>29</v>
      </c>
      <c r="R4" s="12" t="s">
        <v>10</v>
      </c>
      <c r="S4" s="13" t="s">
        <v>26</v>
      </c>
      <c r="T4" s="13" t="s">
        <v>27</v>
      </c>
      <c r="U4" s="13" t="s">
        <v>28</v>
      </c>
      <c r="V4" s="14" t="s">
        <v>29</v>
      </c>
      <c r="W4" s="12" t="s">
        <v>10</v>
      </c>
      <c r="X4" s="13" t="s">
        <v>26</v>
      </c>
      <c r="Y4" s="13" t="s">
        <v>27</v>
      </c>
      <c r="Z4" s="13" t="s">
        <v>28</v>
      </c>
      <c r="AA4" s="14" t="s">
        <v>29</v>
      </c>
    </row>
    <row r="5" spans="1:37" hidden="1" x14ac:dyDescent="0.3">
      <c r="A5" s="15">
        <v>1995</v>
      </c>
      <c r="B5" s="17">
        <v>39498021</v>
      </c>
      <c r="C5" s="18">
        <v>23429605</v>
      </c>
      <c r="D5" s="18">
        <v>10961388</v>
      </c>
      <c r="E5" s="18">
        <v>5107028</v>
      </c>
      <c r="F5" s="19">
        <v>0</v>
      </c>
      <c r="G5" s="16"/>
      <c r="H5" s="17">
        <v>0</v>
      </c>
      <c r="I5" s="18">
        <v>0</v>
      </c>
      <c r="J5" s="18">
        <v>0</v>
      </c>
      <c r="K5" s="18">
        <v>0</v>
      </c>
      <c r="L5" s="19">
        <v>0</v>
      </c>
      <c r="M5" s="17">
        <v>0</v>
      </c>
      <c r="N5" s="18">
        <v>0</v>
      </c>
      <c r="O5" s="18">
        <v>0</v>
      </c>
      <c r="P5" s="18">
        <v>0</v>
      </c>
      <c r="Q5" s="19">
        <v>0</v>
      </c>
      <c r="R5" s="17">
        <v>390222311</v>
      </c>
      <c r="S5" s="18">
        <v>224557821</v>
      </c>
      <c r="T5" s="18">
        <v>116971758</v>
      </c>
      <c r="U5" s="18">
        <v>48692732</v>
      </c>
      <c r="V5" s="19">
        <v>0</v>
      </c>
      <c r="W5" s="17">
        <v>390222311</v>
      </c>
      <c r="X5" s="18">
        <v>224557821</v>
      </c>
      <c r="Y5" s="18">
        <v>116971758</v>
      </c>
      <c r="Z5" s="18">
        <v>48692732</v>
      </c>
      <c r="AA5" s="19">
        <v>0</v>
      </c>
      <c r="AH5" s="20">
        <v>0</v>
      </c>
      <c r="AI5" s="20">
        <v>0</v>
      </c>
      <c r="AJ5" s="20">
        <v>0</v>
      </c>
      <c r="AK5" s="21">
        <v>0</v>
      </c>
    </row>
    <row r="6" spans="1:37" hidden="1" x14ac:dyDescent="0.3">
      <c r="A6" s="22">
        <v>1996</v>
      </c>
      <c r="B6" s="24">
        <v>35438840.400000006</v>
      </c>
      <c r="C6" s="25">
        <v>23768989</v>
      </c>
      <c r="D6" s="25">
        <v>9444994.9000000004</v>
      </c>
      <c r="E6" s="25">
        <v>2224856.5</v>
      </c>
      <c r="F6" s="26">
        <v>0</v>
      </c>
      <c r="G6" s="23"/>
      <c r="H6" s="27">
        <v>0</v>
      </c>
      <c r="I6" s="20">
        <v>0</v>
      </c>
      <c r="J6" s="20">
        <v>0</v>
      </c>
      <c r="K6" s="20">
        <v>0</v>
      </c>
      <c r="L6" s="21">
        <v>0</v>
      </c>
      <c r="M6" s="27">
        <v>0</v>
      </c>
      <c r="N6" s="20">
        <v>0</v>
      </c>
      <c r="O6" s="20">
        <v>0</v>
      </c>
      <c r="P6" s="20">
        <v>0</v>
      </c>
      <c r="Q6" s="21">
        <v>0</v>
      </c>
      <c r="R6" s="27">
        <v>394147493</v>
      </c>
      <c r="S6" s="20">
        <v>232444404</v>
      </c>
      <c r="T6" s="20">
        <v>124952037</v>
      </c>
      <c r="U6" s="20">
        <v>36751052</v>
      </c>
      <c r="V6" s="21">
        <v>0</v>
      </c>
      <c r="W6" s="27">
        <v>394147493</v>
      </c>
      <c r="X6" s="20">
        <v>232444404</v>
      </c>
      <c r="Y6" s="20">
        <v>124952037</v>
      </c>
      <c r="Z6" s="20">
        <v>36751052</v>
      </c>
      <c r="AA6" s="21">
        <v>0</v>
      </c>
    </row>
    <row r="7" spans="1:37" hidden="1" x14ac:dyDescent="0.3">
      <c r="A7" s="22">
        <v>1997</v>
      </c>
      <c r="B7" s="24">
        <v>41065661.112999998</v>
      </c>
      <c r="C7" s="25">
        <v>25020432.010000002</v>
      </c>
      <c r="D7" s="25">
        <v>11920860.153000001</v>
      </c>
      <c r="E7" s="25">
        <v>4124368.95</v>
      </c>
      <c r="F7" s="26">
        <v>0</v>
      </c>
      <c r="G7" s="23"/>
      <c r="H7" s="27">
        <v>42388134.5</v>
      </c>
      <c r="I7" s="20">
        <v>22550685.75</v>
      </c>
      <c r="J7" s="20">
        <v>14894675.75</v>
      </c>
      <c r="K7" s="20">
        <v>4942773</v>
      </c>
      <c r="L7" s="21">
        <v>0</v>
      </c>
      <c r="M7" s="27">
        <v>5607457566.75</v>
      </c>
      <c r="N7" s="20">
        <v>5590483423.5</v>
      </c>
      <c r="O7" s="20">
        <v>5763049.5</v>
      </c>
      <c r="P7" s="20">
        <v>11211093.75</v>
      </c>
      <c r="Q7" s="21">
        <v>0</v>
      </c>
      <c r="R7" s="27">
        <v>484795975.17700005</v>
      </c>
      <c r="S7" s="20">
        <v>244754120.46799999</v>
      </c>
      <c r="T7" s="20">
        <v>171426816.859</v>
      </c>
      <c r="U7" s="20">
        <v>68615037.850000009</v>
      </c>
      <c r="V7" s="21">
        <v>0</v>
      </c>
      <c r="W7" s="27">
        <v>484795975.17700005</v>
      </c>
      <c r="X7" s="20">
        <v>244754120.46799999</v>
      </c>
      <c r="Y7" s="20">
        <v>171426816.859</v>
      </c>
      <c r="Z7" s="20">
        <v>68615037.850000009</v>
      </c>
      <c r="AA7" s="21">
        <v>0</v>
      </c>
    </row>
    <row r="8" spans="1:37" hidden="1" x14ac:dyDescent="0.3">
      <c r="A8" s="22">
        <v>1998</v>
      </c>
      <c r="B8" s="24">
        <v>49308756.545999989</v>
      </c>
      <c r="C8" s="25">
        <v>27584834.009</v>
      </c>
      <c r="D8" s="25">
        <v>17594043.487000003</v>
      </c>
      <c r="E8" s="25">
        <v>4023443.05</v>
      </c>
      <c r="F8" s="26">
        <v>0</v>
      </c>
      <c r="G8" s="23"/>
      <c r="H8" s="27">
        <v>49441938</v>
      </c>
      <c r="I8" s="20">
        <v>24256034.5</v>
      </c>
      <c r="J8" s="20">
        <v>20288369.5</v>
      </c>
      <c r="K8" s="20">
        <v>4170656</v>
      </c>
      <c r="L8" s="21">
        <v>0</v>
      </c>
      <c r="M8" s="27">
        <v>8400866567</v>
      </c>
      <c r="N8" s="20">
        <v>8383822807.75</v>
      </c>
      <c r="O8" s="20">
        <v>5412733.75</v>
      </c>
      <c r="P8" s="20">
        <v>11631025.5</v>
      </c>
      <c r="Q8" s="21">
        <v>0</v>
      </c>
      <c r="R8" s="27">
        <v>586212106.97900009</v>
      </c>
      <c r="S8" s="20">
        <v>270777277.17300004</v>
      </c>
      <c r="T8" s="20">
        <v>239789786.80599999</v>
      </c>
      <c r="U8" s="20">
        <v>66901420.950000003</v>
      </c>
      <c r="V8" s="21">
        <v>0</v>
      </c>
      <c r="W8" s="27">
        <v>586212106.97900009</v>
      </c>
      <c r="X8" s="20">
        <v>270777277.17300004</v>
      </c>
      <c r="Y8" s="20">
        <v>239789786.80599999</v>
      </c>
      <c r="Z8" s="20">
        <v>66901420.950000003</v>
      </c>
      <c r="AA8" s="21">
        <v>0</v>
      </c>
    </row>
    <row r="9" spans="1:37" hidden="1" x14ac:dyDescent="0.3">
      <c r="A9" s="22">
        <v>1999</v>
      </c>
      <c r="B9" s="24">
        <v>58507242.974999994</v>
      </c>
      <c r="C9" s="25">
        <v>24335653.604000002</v>
      </c>
      <c r="D9" s="25">
        <v>26258260.846000005</v>
      </c>
      <c r="E9" s="25">
        <v>7361914.4500000011</v>
      </c>
      <c r="F9" s="26">
        <v>0</v>
      </c>
      <c r="G9" s="23"/>
      <c r="H9" s="27">
        <v>57529681</v>
      </c>
      <c r="I9" s="20">
        <v>22090837.5</v>
      </c>
      <c r="J9" s="20">
        <v>26905984.5</v>
      </c>
      <c r="K9" s="20">
        <v>7872503.25</v>
      </c>
      <c r="L9" s="21">
        <v>0</v>
      </c>
      <c r="M9" s="27">
        <v>51032815.75</v>
      </c>
      <c r="N9" s="20">
        <v>10187118.75</v>
      </c>
      <c r="O9" s="20">
        <v>22145060</v>
      </c>
      <c r="P9" s="20">
        <v>18700637</v>
      </c>
      <c r="Q9" s="21">
        <v>0</v>
      </c>
      <c r="R9" s="27">
        <v>713708170.9799999</v>
      </c>
      <c r="S9" s="20">
        <v>239238286.89700001</v>
      </c>
      <c r="T9" s="20">
        <v>345797729.70800006</v>
      </c>
      <c r="U9" s="20">
        <v>119586839.09999999</v>
      </c>
      <c r="V9" s="21">
        <v>0</v>
      </c>
      <c r="W9" s="27">
        <v>713708170.9799999</v>
      </c>
      <c r="X9" s="20">
        <v>239238286.89700001</v>
      </c>
      <c r="Y9" s="20">
        <v>345797729.70800006</v>
      </c>
      <c r="Z9" s="20">
        <v>119586839.09999999</v>
      </c>
      <c r="AA9" s="21">
        <v>0</v>
      </c>
    </row>
    <row r="10" spans="1:37" x14ac:dyDescent="0.3">
      <c r="A10" s="22">
        <v>2000</v>
      </c>
      <c r="B10" s="24">
        <v>57114438.523999996</v>
      </c>
      <c r="C10" s="25">
        <v>25546640.620000001</v>
      </c>
      <c r="D10" s="25">
        <v>22488241.036000002</v>
      </c>
      <c r="E10" s="25">
        <v>8411264.6209999993</v>
      </c>
      <c r="F10" s="26">
        <v>0</v>
      </c>
      <c r="G10" s="28"/>
      <c r="H10" s="27">
        <v>52847410.11999999</v>
      </c>
      <c r="I10" s="20">
        <v>20972027.82</v>
      </c>
      <c r="J10" s="20">
        <v>22418117.290000003</v>
      </c>
      <c r="K10" s="20">
        <v>8653447.5</v>
      </c>
      <c r="L10" s="21">
        <v>0</v>
      </c>
      <c r="M10" s="27">
        <v>65706594.75</v>
      </c>
      <c r="N10" s="20">
        <v>29485192.5</v>
      </c>
      <c r="O10" s="20">
        <v>20865611.25</v>
      </c>
      <c r="P10" s="20">
        <v>15355791</v>
      </c>
      <c r="Q10" s="21">
        <v>0</v>
      </c>
      <c r="R10" s="27">
        <v>667786986.89100003</v>
      </c>
      <c r="S10" s="20">
        <v>250035302.60199997</v>
      </c>
      <c r="T10" s="20">
        <v>286442149.79200006</v>
      </c>
      <c r="U10" s="20">
        <v>120336119.825</v>
      </c>
      <c r="V10" s="67">
        <v>0</v>
      </c>
      <c r="W10" s="69">
        <f>B10/R10</f>
        <v>8.5527929781780157E-2</v>
      </c>
      <c r="X10" s="69">
        <f t="shared" ref="X10:Z10" si="0">C10/S10</f>
        <v>0.10217213471117122</v>
      </c>
      <c r="Y10" s="69">
        <f t="shared" si="0"/>
        <v>7.8508840449388606E-2</v>
      </c>
      <c r="Z10" s="69">
        <f t="shared" si="0"/>
        <v>6.9898087400791759E-2</v>
      </c>
      <c r="AA10" s="69"/>
    </row>
    <row r="11" spans="1:37" x14ac:dyDescent="0.3">
      <c r="A11" s="22">
        <v>2001</v>
      </c>
      <c r="B11" s="24">
        <v>53195854.009999998</v>
      </c>
      <c r="C11" s="25">
        <v>23519892.351</v>
      </c>
      <c r="D11" s="25">
        <v>20636550.932</v>
      </c>
      <c r="E11" s="25">
        <v>9039410.727</v>
      </c>
      <c r="F11" s="26">
        <v>0</v>
      </c>
      <c r="G11" s="29"/>
      <c r="H11" s="27">
        <v>55286659.279999994</v>
      </c>
      <c r="I11" s="20">
        <v>19673250.229999997</v>
      </c>
      <c r="J11" s="20">
        <v>22460282.580000002</v>
      </c>
      <c r="K11" s="20">
        <v>13153126.470000001</v>
      </c>
      <c r="L11" s="21">
        <v>0</v>
      </c>
      <c r="M11" s="27">
        <v>53478564.5</v>
      </c>
      <c r="N11" s="20">
        <v>28222934</v>
      </c>
      <c r="O11" s="20">
        <v>21467731.75</v>
      </c>
      <c r="P11" s="20">
        <v>3787898.75</v>
      </c>
      <c r="Q11" s="21">
        <v>0</v>
      </c>
      <c r="R11" s="27">
        <v>659835399.95700026</v>
      </c>
      <c r="S11" s="20">
        <v>230008449.44400001</v>
      </c>
      <c r="T11" s="20">
        <v>283380036.88099998</v>
      </c>
      <c r="U11" s="20">
        <v>146446913.632</v>
      </c>
      <c r="V11" s="67">
        <v>0</v>
      </c>
      <c r="W11" s="69">
        <f t="shared" ref="W11:W31" si="1">B11/R11</f>
        <v>8.0619884918976203E-2</v>
      </c>
      <c r="X11" s="69">
        <f t="shared" ref="X11:X30" si="2">C11/S11</f>
        <v>0.10225664495306452</v>
      </c>
      <c r="Y11" s="69">
        <f t="shared" ref="Y11:Y31" si="3">D11/T11</f>
        <v>7.2822881806123577E-2</v>
      </c>
      <c r="Z11" s="69">
        <f t="shared" ref="Z11:Z31" si="4">E11/U11</f>
        <v>6.1724829174035975E-2</v>
      </c>
      <c r="AA11" s="69"/>
    </row>
    <row r="12" spans="1:37" x14ac:dyDescent="0.3">
      <c r="A12" s="22">
        <v>2002</v>
      </c>
      <c r="B12" s="24">
        <v>51546524.308000028</v>
      </c>
      <c r="C12" s="25">
        <v>24073494.399999995</v>
      </c>
      <c r="D12" s="25">
        <v>17924259.535999998</v>
      </c>
      <c r="E12" s="25">
        <v>9548770.3720000014</v>
      </c>
      <c r="F12" s="26">
        <v>0</v>
      </c>
      <c r="G12" s="29"/>
      <c r="H12" s="27">
        <v>54475946.409999982</v>
      </c>
      <c r="I12" s="20">
        <v>19598397.5</v>
      </c>
      <c r="J12" s="20">
        <v>20452608.049999997</v>
      </c>
      <c r="K12" s="20">
        <v>14424940.859999999</v>
      </c>
      <c r="L12" s="21">
        <v>0</v>
      </c>
      <c r="M12" s="27">
        <v>54517932.25</v>
      </c>
      <c r="N12" s="20">
        <v>29899794.75</v>
      </c>
      <c r="O12" s="20">
        <v>20701061</v>
      </c>
      <c r="P12" s="20">
        <v>3917076.5</v>
      </c>
      <c r="Q12" s="21">
        <v>0</v>
      </c>
      <c r="R12" s="27">
        <v>652413289.62899983</v>
      </c>
      <c r="S12" s="20">
        <v>235950082.00999996</v>
      </c>
      <c r="T12" s="20">
        <v>256976609.16799998</v>
      </c>
      <c r="U12" s="20">
        <v>159486598.45100001</v>
      </c>
      <c r="V12" s="67">
        <v>0</v>
      </c>
      <c r="W12" s="69">
        <f t="shared" si="1"/>
        <v>7.9009004150286985E-2</v>
      </c>
      <c r="X12" s="69">
        <f t="shared" si="2"/>
        <v>0.10202791283191721</v>
      </c>
      <c r="Y12" s="69">
        <f t="shared" si="3"/>
        <v>6.9750548869145931E-2</v>
      </c>
      <c r="Z12" s="69">
        <f t="shared" si="4"/>
        <v>5.9871929458284394E-2</v>
      </c>
      <c r="AA12" s="69"/>
    </row>
    <row r="13" spans="1:37" x14ac:dyDescent="0.3">
      <c r="A13" s="22">
        <v>2003</v>
      </c>
      <c r="B13" s="24">
        <v>53240988.933000006</v>
      </c>
      <c r="C13" s="25">
        <v>24491989.467999998</v>
      </c>
      <c r="D13" s="25">
        <v>19789014.772999998</v>
      </c>
      <c r="E13" s="25">
        <v>8959984.6920000035</v>
      </c>
      <c r="F13" s="26">
        <v>0</v>
      </c>
      <c r="G13" s="29"/>
      <c r="H13" s="27">
        <v>57649511.799999997</v>
      </c>
      <c r="I13" s="20">
        <v>22618773.280000001</v>
      </c>
      <c r="J13" s="20">
        <v>22159367.850000001</v>
      </c>
      <c r="K13" s="20">
        <v>12871370.669999998</v>
      </c>
      <c r="L13" s="21">
        <v>0</v>
      </c>
      <c r="M13" s="27">
        <v>35516361.75</v>
      </c>
      <c r="N13" s="20">
        <v>11744178.75</v>
      </c>
      <c r="O13" s="20">
        <v>20982221.5</v>
      </c>
      <c r="P13" s="20">
        <v>2789961.5</v>
      </c>
      <c r="Q13" s="21">
        <v>0</v>
      </c>
      <c r="R13" s="27">
        <v>647208700.95200026</v>
      </c>
      <c r="S13" s="20">
        <v>239725075.75899994</v>
      </c>
      <c r="T13" s="20">
        <v>265684639.11200002</v>
      </c>
      <c r="U13" s="20">
        <v>141798986.08099997</v>
      </c>
      <c r="V13" s="67">
        <v>0</v>
      </c>
      <c r="W13" s="69">
        <f t="shared" si="1"/>
        <v>8.226247399746961E-2</v>
      </c>
      <c r="X13" s="69">
        <f t="shared" si="2"/>
        <v>0.10216699020932732</v>
      </c>
      <c r="Y13" s="69">
        <f t="shared" si="3"/>
        <v>7.4483097100159754E-2</v>
      </c>
      <c r="Z13" s="69">
        <f t="shared" si="4"/>
        <v>6.3187932013010178E-2</v>
      </c>
      <c r="AA13" s="69"/>
    </row>
    <row r="14" spans="1:37" x14ac:dyDescent="0.3">
      <c r="A14" s="22">
        <v>2004</v>
      </c>
      <c r="B14" s="24">
        <v>55125940.991999999</v>
      </c>
      <c r="C14" s="25">
        <v>23673987.589000002</v>
      </c>
      <c r="D14" s="25">
        <v>19574348.627999995</v>
      </c>
      <c r="E14" s="25">
        <v>11877604.775</v>
      </c>
      <c r="F14" s="26">
        <v>0</v>
      </c>
      <c r="G14" s="29"/>
      <c r="H14" s="27">
        <v>61195819.739999995</v>
      </c>
      <c r="I14" s="20">
        <v>22126750.790000003</v>
      </c>
      <c r="J14" s="20">
        <v>21959905.969999999</v>
      </c>
      <c r="K14" s="20">
        <v>17109162.979999997</v>
      </c>
      <c r="L14" s="21">
        <v>0</v>
      </c>
      <c r="M14" s="27">
        <v>36933224.75</v>
      </c>
      <c r="N14" s="20">
        <v>9552700.75</v>
      </c>
      <c r="O14" s="20">
        <v>22588306.25</v>
      </c>
      <c r="P14" s="20">
        <v>4792217.75</v>
      </c>
      <c r="Q14" s="21">
        <v>0</v>
      </c>
      <c r="R14" s="27">
        <v>679722558.55299938</v>
      </c>
      <c r="S14" s="20">
        <v>230661725.9320001</v>
      </c>
      <c r="T14" s="20">
        <v>261136896.74000001</v>
      </c>
      <c r="U14" s="20">
        <v>187923935.88099998</v>
      </c>
      <c r="V14" s="67">
        <v>0</v>
      </c>
      <c r="W14" s="69">
        <f t="shared" si="1"/>
        <v>8.1100649519934565E-2</v>
      </c>
      <c r="X14" s="69">
        <f t="shared" si="2"/>
        <v>0.10263509255098167</v>
      </c>
      <c r="Y14" s="69">
        <f t="shared" si="3"/>
        <v>7.4958188108856641E-2</v>
      </c>
      <c r="Z14" s="69">
        <f t="shared" si="4"/>
        <v>6.3204321042537745E-2</v>
      </c>
      <c r="AA14" s="69"/>
    </row>
    <row r="15" spans="1:37" x14ac:dyDescent="0.3">
      <c r="A15" s="22">
        <v>2005</v>
      </c>
      <c r="B15" s="24">
        <v>56018927.693000004</v>
      </c>
      <c r="C15" s="25">
        <v>22348514.740999997</v>
      </c>
      <c r="D15" s="25">
        <v>20163454.165000003</v>
      </c>
      <c r="E15" s="25">
        <v>13506958.787000002</v>
      </c>
      <c r="F15" s="26">
        <v>0</v>
      </c>
      <c r="G15" s="29"/>
      <c r="H15" s="27">
        <v>67467938.63000001</v>
      </c>
      <c r="I15" s="20">
        <v>20923714.669999998</v>
      </c>
      <c r="J15" s="20">
        <v>24126776.050000001</v>
      </c>
      <c r="K15" s="20">
        <v>22417447.910000004</v>
      </c>
      <c r="L15" s="21">
        <v>0</v>
      </c>
      <c r="M15" s="27">
        <v>28433451.25</v>
      </c>
      <c r="N15" s="20">
        <v>10330360.5</v>
      </c>
      <c r="O15" s="20">
        <v>15249492.25</v>
      </c>
      <c r="P15" s="20">
        <v>2853598.5</v>
      </c>
      <c r="Q15" s="21">
        <v>0</v>
      </c>
      <c r="R15" s="27">
        <v>698650824.08899999</v>
      </c>
      <c r="S15" s="20">
        <v>217711761.63299996</v>
      </c>
      <c r="T15" s="20">
        <v>266176090.90599999</v>
      </c>
      <c r="U15" s="20">
        <v>214762971.55000007</v>
      </c>
      <c r="V15" s="67">
        <v>0</v>
      </c>
      <c r="W15" s="69">
        <f t="shared" si="1"/>
        <v>8.0181581072412564E-2</v>
      </c>
      <c r="X15" s="69">
        <f t="shared" si="2"/>
        <v>0.10265184835844207</v>
      </c>
      <c r="Y15" s="69">
        <f t="shared" si="3"/>
        <v>7.5752311548225121E-2</v>
      </c>
      <c r="Z15" s="69">
        <f t="shared" si="4"/>
        <v>6.2892400349635585E-2</v>
      </c>
      <c r="AA15" s="69"/>
    </row>
    <row r="16" spans="1:37" x14ac:dyDescent="0.3">
      <c r="A16" s="22">
        <v>2006</v>
      </c>
      <c r="B16" s="24">
        <v>47912219.015000001</v>
      </c>
      <c r="C16" s="25">
        <v>22183541.135000005</v>
      </c>
      <c r="D16" s="25">
        <v>10487480.450999999</v>
      </c>
      <c r="E16" s="25">
        <v>15241197.428999998</v>
      </c>
      <c r="F16" s="26">
        <v>0</v>
      </c>
      <c r="G16" s="29"/>
      <c r="H16" s="27">
        <v>62881362.210000008</v>
      </c>
      <c r="I16" s="20">
        <v>20731423.510000002</v>
      </c>
      <c r="J16" s="20">
        <v>13747023.18</v>
      </c>
      <c r="K16" s="20">
        <v>28402915.519999992</v>
      </c>
      <c r="L16" s="21">
        <v>0</v>
      </c>
      <c r="M16" s="27">
        <v>19252651.380000003</v>
      </c>
      <c r="N16" s="20">
        <v>8276718.3799999999</v>
      </c>
      <c r="O16" s="20">
        <v>7688357.75</v>
      </c>
      <c r="P16" s="20">
        <v>3287575.25</v>
      </c>
      <c r="Q16" s="21">
        <v>0</v>
      </c>
      <c r="R16" s="27">
        <v>622916514.34599996</v>
      </c>
      <c r="S16" s="20">
        <v>216118543.20599994</v>
      </c>
      <c r="T16" s="20">
        <v>153930828.64900002</v>
      </c>
      <c r="U16" s="20">
        <v>252867142.491</v>
      </c>
      <c r="V16" s="67">
        <v>0</v>
      </c>
      <c r="W16" s="69">
        <f t="shared" si="1"/>
        <v>7.6915955688384718E-2</v>
      </c>
      <c r="X16" s="69">
        <f t="shared" si="2"/>
        <v>0.10264524647408478</v>
      </c>
      <c r="Y16" s="69">
        <f t="shared" si="3"/>
        <v>6.8131124499524548E-2</v>
      </c>
      <c r="Z16" s="69">
        <f t="shared" si="4"/>
        <v>6.0273538423610967E-2</v>
      </c>
      <c r="AA16" s="69"/>
    </row>
    <row r="17" spans="1:27" x14ac:dyDescent="0.3">
      <c r="A17" s="22">
        <v>2007</v>
      </c>
      <c r="B17" s="24">
        <v>49575411.034000002</v>
      </c>
      <c r="C17" s="25">
        <v>21884899.247000001</v>
      </c>
      <c r="D17" s="25">
        <v>10732638.831000002</v>
      </c>
      <c r="E17" s="25">
        <v>16957872.956</v>
      </c>
      <c r="F17" s="26">
        <v>0</v>
      </c>
      <c r="G17" s="29"/>
      <c r="H17" s="27">
        <v>68490235.74999997</v>
      </c>
      <c r="I17" s="20">
        <v>21038792.550000001</v>
      </c>
      <c r="J17" s="20">
        <v>14158322.65</v>
      </c>
      <c r="K17" s="20">
        <v>33293120.550000001</v>
      </c>
      <c r="L17" s="21">
        <v>0</v>
      </c>
      <c r="M17" s="27">
        <v>17266705.199999999</v>
      </c>
      <c r="N17" s="20">
        <v>7024328.9500000002</v>
      </c>
      <c r="O17" s="20">
        <v>6554573</v>
      </c>
      <c r="P17" s="20">
        <v>3687803.25</v>
      </c>
      <c r="Q17" s="21">
        <v>0</v>
      </c>
      <c r="R17" s="27">
        <v>653896237.06200016</v>
      </c>
      <c r="S17" s="20">
        <v>213362240.30000001</v>
      </c>
      <c r="T17" s="20">
        <v>154162341.255</v>
      </c>
      <c r="U17" s="20">
        <v>286371655.50699997</v>
      </c>
      <c r="V17" s="67">
        <v>0</v>
      </c>
      <c r="W17" s="69">
        <f t="shared" si="1"/>
        <v>7.5815409577436418E-2</v>
      </c>
      <c r="X17" s="69">
        <f t="shared" si="2"/>
        <v>0.10257156662879303</v>
      </c>
      <c r="Y17" s="69">
        <f t="shared" si="3"/>
        <v>6.9619070024677029E-2</v>
      </c>
      <c r="Z17" s="69">
        <f t="shared" si="4"/>
        <v>5.9216310797160887E-2</v>
      </c>
      <c r="AA17" s="69"/>
    </row>
    <row r="18" spans="1:27" x14ac:dyDescent="0.3">
      <c r="A18" s="22">
        <v>2008</v>
      </c>
      <c r="B18" s="24">
        <v>42844447.917999998</v>
      </c>
      <c r="C18" s="25">
        <v>18679354.706000004</v>
      </c>
      <c r="D18" s="25">
        <v>8515621.0609999988</v>
      </c>
      <c r="E18" s="25">
        <v>15205000.588000001</v>
      </c>
      <c r="F18" s="26">
        <v>444471.56300000002</v>
      </c>
      <c r="G18" s="30"/>
      <c r="H18" s="27">
        <v>65169456.709999964</v>
      </c>
      <c r="I18" s="20">
        <v>18477773.82</v>
      </c>
      <c r="J18" s="20">
        <v>11869247.68</v>
      </c>
      <c r="K18" s="20">
        <v>34489456.31000001</v>
      </c>
      <c r="L18" s="21">
        <v>332978.90000000002</v>
      </c>
      <c r="M18" s="27">
        <v>23842173.050000001</v>
      </c>
      <c r="N18" s="20">
        <v>14609520.050000003</v>
      </c>
      <c r="O18" s="20">
        <v>6553796.5</v>
      </c>
      <c r="P18" s="20">
        <v>2678856.5</v>
      </c>
      <c r="Q18" s="21">
        <v>0</v>
      </c>
      <c r="R18" s="27">
        <v>632755231.95200014</v>
      </c>
      <c r="S18" s="20">
        <v>193235773.40099999</v>
      </c>
      <c r="T18" s="20">
        <v>133285489.043</v>
      </c>
      <c r="U18" s="20">
        <v>302153195.68400007</v>
      </c>
      <c r="V18" s="67">
        <v>4080773.824</v>
      </c>
      <c r="W18" s="69">
        <f t="shared" si="1"/>
        <v>6.7710934267312561E-2</v>
      </c>
      <c r="X18" s="69">
        <f t="shared" si="2"/>
        <v>9.6666131623759366E-2</v>
      </c>
      <c r="Y18" s="69">
        <f t="shared" si="3"/>
        <v>6.3890083775381773E-2</v>
      </c>
      <c r="Z18" s="69">
        <f t="shared" si="4"/>
        <v>5.032215712158742E-2</v>
      </c>
      <c r="AA18" s="69">
        <f t="shared" ref="AA18:AA31" si="5">F18/V18</f>
        <v>0.10891845080605968</v>
      </c>
    </row>
    <row r="19" spans="1:27" x14ac:dyDescent="0.3">
      <c r="A19" s="22">
        <v>2009</v>
      </c>
      <c r="B19" s="24">
        <v>38295367.911000021</v>
      </c>
      <c r="C19" s="25">
        <v>13637433.427000005</v>
      </c>
      <c r="D19" s="25">
        <v>6394482.0640000002</v>
      </c>
      <c r="E19" s="25">
        <v>18055052.019000005</v>
      </c>
      <c r="F19" s="26">
        <v>208400.40100000001</v>
      </c>
      <c r="G19" s="31">
        <v>37861407.933999993</v>
      </c>
      <c r="H19" s="27">
        <v>57651889.140000008</v>
      </c>
      <c r="I19" s="20">
        <v>12893409.630000001</v>
      </c>
      <c r="J19" s="20">
        <v>9905014.790000001</v>
      </c>
      <c r="K19" s="20">
        <v>34696280.010000005</v>
      </c>
      <c r="L19" s="21">
        <v>157184.71</v>
      </c>
      <c r="M19" s="27">
        <v>15261542.059999999</v>
      </c>
      <c r="N19" s="20">
        <v>6222762.0599999996</v>
      </c>
      <c r="O19" s="20">
        <v>6405903.5</v>
      </c>
      <c r="P19" s="20">
        <v>2632876.5</v>
      </c>
      <c r="Q19" s="21">
        <v>0</v>
      </c>
      <c r="R19" s="27">
        <v>534677752.38399994</v>
      </c>
      <c r="S19" s="20">
        <v>131779357.02899998</v>
      </c>
      <c r="T19" s="20">
        <v>98471943.374999985</v>
      </c>
      <c r="U19" s="20">
        <v>302529913.41399997</v>
      </c>
      <c r="V19" s="67">
        <v>1896538.5660000001</v>
      </c>
      <c r="W19" s="69">
        <f t="shared" si="1"/>
        <v>7.1623267922127212E-2</v>
      </c>
      <c r="X19" s="69">
        <f t="shared" si="2"/>
        <v>0.10348687180192333</v>
      </c>
      <c r="Y19" s="69">
        <f t="shared" si="3"/>
        <v>6.4937096241196243E-2</v>
      </c>
      <c r="Z19" s="69">
        <f t="shared" si="4"/>
        <v>5.9680220759830767E-2</v>
      </c>
      <c r="AA19" s="69">
        <f t="shared" si="5"/>
        <v>0.10988461017143376</v>
      </c>
    </row>
    <row r="20" spans="1:27" x14ac:dyDescent="0.3">
      <c r="A20" s="22">
        <v>2010</v>
      </c>
      <c r="B20" s="24">
        <v>42534712.958000012</v>
      </c>
      <c r="C20" s="25">
        <v>14950792.331</v>
      </c>
      <c r="D20" s="25">
        <v>6701372.2609999999</v>
      </c>
      <c r="E20" s="25">
        <v>20793882.802999999</v>
      </c>
      <c r="F20" s="26">
        <v>88665.562999999995</v>
      </c>
      <c r="G20" s="31">
        <v>42113171.105000012</v>
      </c>
      <c r="H20" s="27">
        <v>64658696.690000013</v>
      </c>
      <c r="I20" s="20">
        <v>14165272.879999999</v>
      </c>
      <c r="J20" s="20">
        <v>10378923.399999997</v>
      </c>
      <c r="K20" s="20">
        <v>40048407.950000003</v>
      </c>
      <c r="L20" s="21">
        <v>66092.460000000006</v>
      </c>
      <c r="M20" s="27">
        <v>18896742.300000001</v>
      </c>
      <c r="N20" s="20">
        <v>6392470.0499999998</v>
      </c>
      <c r="O20" s="20">
        <v>7566493.75</v>
      </c>
      <c r="P20" s="20">
        <v>4937778.5</v>
      </c>
      <c r="Q20" s="21">
        <v>0</v>
      </c>
      <c r="R20" s="27">
        <v>601324759.71600068</v>
      </c>
      <c r="S20" s="20">
        <v>144629833.99299997</v>
      </c>
      <c r="T20" s="20">
        <v>106834217.72699998</v>
      </c>
      <c r="U20" s="20">
        <v>349009002.28499991</v>
      </c>
      <c r="V20" s="67">
        <v>851705.71100000001</v>
      </c>
      <c r="W20" s="69">
        <f t="shared" si="1"/>
        <v>7.0735010110158619E-2</v>
      </c>
      <c r="X20" s="69">
        <f t="shared" si="2"/>
        <v>0.10337280987077406</v>
      </c>
      <c r="Y20" s="69">
        <f t="shared" si="3"/>
        <v>6.2726834188316205E-2</v>
      </c>
      <c r="Z20" s="69">
        <f t="shared" si="4"/>
        <v>5.9579789251452506E-2</v>
      </c>
      <c r="AA20" s="69">
        <f t="shared" si="5"/>
        <v>0.10410352056451104</v>
      </c>
    </row>
    <row r="21" spans="1:27" x14ac:dyDescent="0.3">
      <c r="A21" s="22">
        <v>2011</v>
      </c>
      <c r="B21" s="24">
        <v>37420974.624000005</v>
      </c>
      <c r="C21" s="25">
        <v>10394280.398999998</v>
      </c>
      <c r="D21" s="25">
        <v>4201172.3810000001</v>
      </c>
      <c r="E21" s="25">
        <v>22825521.843999997</v>
      </c>
      <c r="F21" s="26">
        <v>0</v>
      </c>
      <c r="G21" s="31">
        <v>37148379.048999988</v>
      </c>
      <c r="H21" s="27">
        <v>61057585.76000002</v>
      </c>
      <c r="I21" s="20">
        <v>9799608.6799999997</v>
      </c>
      <c r="J21" s="20">
        <v>5345544.3699999992</v>
      </c>
      <c r="K21" s="20">
        <v>45912432.710000008</v>
      </c>
      <c r="L21" s="21">
        <v>0</v>
      </c>
      <c r="M21" s="27">
        <v>13764832.07</v>
      </c>
      <c r="N21" s="20">
        <v>3077801.07</v>
      </c>
      <c r="O21" s="20">
        <v>8045548.75</v>
      </c>
      <c r="P21" s="20">
        <v>2641482.25</v>
      </c>
      <c r="Q21" s="21">
        <v>0</v>
      </c>
      <c r="R21" s="27">
        <v>551169137.54299998</v>
      </c>
      <c r="S21" s="20">
        <v>100542993.77600002</v>
      </c>
      <c r="T21" s="20">
        <v>67070015.925999999</v>
      </c>
      <c r="U21" s="20">
        <v>383556127.84100008</v>
      </c>
      <c r="V21" s="67">
        <v>0</v>
      </c>
      <c r="W21" s="69">
        <f t="shared" si="1"/>
        <v>6.7893813486754911E-2</v>
      </c>
      <c r="X21" s="69">
        <f t="shared" si="2"/>
        <v>0.10338144915554674</v>
      </c>
      <c r="Y21" s="69">
        <f t="shared" si="3"/>
        <v>6.2638607177837216E-2</v>
      </c>
      <c r="Z21" s="69">
        <f t="shared" si="4"/>
        <v>5.9510252052242328E-2</v>
      </c>
      <c r="AA21" s="69"/>
    </row>
    <row r="22" spans="1:27" x14ac:dyDescent="0.3">
      <c r="A22" s="22">
        <v>2012</v>
      </c>
      <c r="B22" s="24">
        <v>35762480.59799996</v>
      </c>
      <c r="C22" s="25">
        <v>5030163.7290000012</v>
      </c>
      <c r="D22" s="25">
        <v>4349727.676</v>
      </c>
      <c r="E22" s="25">
        <v>26195974.382000003</v>
      </c>
      <c r="F22" s="26">
        <v>186614.81099999999</v>
      </c>
      <c r="G22" s="31">
        <v>35640441.597999975</v>
      </c>
      <c r="H22" s="27">
        <v>63795067.930000015</v>
      </c>
      <c r="I22" s="20">
        <v>4427240.0299999993</v>
      </c>
      <c r="J22" s="20">
        <v>6023432.9199999999</v>
      </c>
      <c r="K22" s="20">
        <v>53205912.080000013</v>
      </c>
      <c r="L22" s="21">
        <v>138482.9</v>
      </c>
      <c r="M22" s="27">
        <v>12456658.399999999</v>
      </c>
      <c r="N22" s="20">
        <v>2707639.6500000004</v>
      </c>
      <c r="O22" s="20">
        <v>6411985.5</v>
      </c>
      <c r="P22" s="20">
        <v>3337033.25</v>
      </c>
      <c r="Q22" s="21">
        <v>0</v>
      </c>
      <c r="R22" s="27">
        <v>562170029.93999982</v>
      </c>
      <c r="S22" s="20">
        <v>48763330.718999997</v>
      </c>
      <c r="T22" s="20">
        <v>70980412.846000016</v>
      </c>
      <c r="U22" s="20">
        <v>440705771.45799953</v>
      </c>
      <c r="V22" s="67">
        <v>1720514.9169999999</v>
      </c>
      <c r="W22" s="69">
        <f t="shared" si="1"/>
        <v>6.3615060734946813E-2</v>
      </c>
      <c r="X22" s="69">
        <f t="shared" si="2"/>
        <v>0.10315463802065644</v>
      </c>
      <c r="Y22" s="69">
        <f t="shared" si="3"/>
        <v>6.1280675916005493E-2</v>
      </c>
      <c r="Z22" s="69">
        <f t="shared" si="4"/>
        <v>5.9440960564993532E-2</v>
      </c>
      <c r="AA22" s="69">
        <f t="shared" si="5"/>
        <v>0.10846451208071682</v>
      </c>
    </row>
    <row r="23" spans="1:27" x14ac:dyDescent="0.3">
      <c r="A23" s="22">
        <v>2013</v>
      </c>
      <c r="B23" s="24">
        <v>33943663.900999971</v>
      </c>
      <c r="C23" s="25">
        <v>5463637.3000000007</v>
      </c>
      <c r="D23" s="25">
        <v>3871161.9549999991</v>
      </c>
      <c r="E23" s="25">
        <v>24534203.233000003</v>
      </c>
      <c r="F23" s="26">
        <v>74661.413</v>
      </c>
      <c r="G23" s="31">
        <v>33759593.026000008</v>
      </c>
      <c r="H23" s="27">
        <v>58800470.569999993</v>
      </c>
      <c r="I23" s="20">
        <v>4729949.6500000004</v>
      </c>
      <c r="J23" s="20">
        <v>5054748.6500000004</v>
      </c>
      <c r="K23" s="20">
        <v>48965448.099999994</v>
      </c>
      <c r="L23" s="21">
        <v>50324.17</v>
      </c>
      <c r="M23" s="27">
        <v>14846286.76</v>
      </c>
      <c r="N23" s="20">
        <v>3870298.51</v>
      </c>
      <c r="O23" s="20">
        <v>7613334.5</v>
      </c>
      <c r="P23" s="20">
        <v>3362653.75</v>
      </c>
      <c r="Q23" s="21">
        <v>0</v>
      </c>
      <c r="R23" s="27">
        <v>527826835.55400008</v>
      </c>
      <c r="S23" s="20">
        <v>53022602.495000005</v>
      </c>
      <c r="T23" s="20">
        <v>62141699.858999997</v>
      </c>
      <c r="U23" s="20">
        <v>411956850.80799967</v>
      </c>
      <c r="V23" s="67">
        <v>705682.39199999999</v>
      </c>
      <c r="W23" s="69">
        <f t="shared" si="1"/>
        <v>6.4308332988361888E-2</v>
      </c>
      <c r="X23" s="69">
        <f t="shared" si="2"/>
        <v>0.10304355204962296</v>
      </c>
      <c r="Y23" s="69">
        <f t="shared" si="3"/>
        <v>6.2295720326024165E-2</v>
      </c>
      <c r="Z23" s="69">
        <f t="shared" si="4"/>
        <v>5.9555274259620546E-2</v>
      </c>
      <c r="AA23" s="69">
        <f t="shared" si="5"/>
        <v>0.10580030598241143</v>
      </c>
    </row>
    <row r="24" spans="1:27" x14ac:dyDescent="0.3">
      <c r="A24" s="22">
        <v>2014</v>
      </c>
      <c r="B24" s="24">
        <v>34666066.641000018</v>
      </c>
      <c r="C24" s="25">
        <v>4667127.2710000006</v>
      </c>
      <c r="D24" s="25">
        <v>3575143.9379999996</v>
      </c>
      <c r="E24" s="25">
        <v>25765912.031000003</v>
      </c>
      <c r="F24" s="26">
        <v>657883.40100000007</v>
      </c>
      <c r="G24" s="31">
        <v>34432757.882000007</v>
      </c>
      <c r="H24" s="27">
        <v>60019977.420000039</v>
      </c>
      <c r="I24" s="20">
        <v>4595359.7699999996</v>
      </c>
      <c r="J24" s="20">
        <v>4844760.6600000011</v>
      </c>
      <c r="K24" s="20">
        <v>50470351.560000017</v>
      </c>
      <c r="L24" s="21">
        <v>109505.43</v>
      </c>
      <c r="M24" s="27">
        <v>14034838.57</v>
      </c>
      <c r="N24" s="20">
        <v>0</v>
      </c>
      <c r="O24" s="20">
        <v>5336140.5</v>
      </c>
      <c r="P24" s="20">
        <v>5214023.5</v>
      </c>
      <c r="Q24" s="21">
        <v>3484674.5700000003</v>
      </c>
      <c r="R24" s="27">
        <v>537635655.71499979</v>
      </c>
      <c r="S24" s="20">
        <v>45191636.967</v>
      </c>
      <c r="T24" s="20">
        <v>55992912.155999996</v>
      </c>
      <c r="U24" s="20">
        <v>430251642.73099989</v>
      </c>
      <c r="V24" s="67">
        <v>6199463.8609999996</v>
      </c>
      <c r="W24" s="69">
        <f t="shared" si="1"/>
        <v>6.4478734385459868E-2</v>
      </c>
      <c r="X24" s="69">
        <f t="shared" si="2"/>
        <v>0.10327413619489037</v>
      </c>
      <c r="Y24" s="69">
        <f t="shared" si="3"/>
        <v>6.3849937435642032E-2</v>
      </c>
      <c r="Z24" s="69">
        <f t="shared" si="4"/>
        <v>5.9885679616357115E-2</v>
      </c>
      <c r="AA24" s="69">
        <f t="shared" si="5"/>
        <v>0.10611940254038044</v>
      </c>
    </row>
    <row r="25" spans="1:27" x14ac:dyDescent="0.3">
      <c r="A25" s="22">
        <v>2015</v>
      </c>
      <c r="B25" s="24">
        <v>33226651.687000006</v>
      </c>
      <c r="C25" s="25">
        <v>2229724.9189999998</v>
      </c>
      <c r="D25" s="25">
        <v>3971812.3260000004</v>
      </c>
      <c r="E25" s="25">
        <v>26425073.115000002</v>
      </c>
      <c r="F25" s="26">
        <v>600041.32700000005</v>
      </c>
      <c r="G25" s="31">
        <v>33017570.712000005</v>
      </c>
      <c r="H25" s="27">
        <v>59224915.870000049</v>
      </c>
      <c r="I25" s="20">
        <v>2182280.04</v>
      </c>
      <c r="J25" s="20">
        <v>5296413.17</v>
      </c>
      <c r="K25" s="20">
        <v>51701601.740000017</v>
      </c>
      <c r="L25" s="21">
        <v>44620.92</v>
      </c>
      <c r="M25" s="27">
        <v>14727167.57</v>
      </c>
      <c r="N25" s="20">
        <v>0</v>
      </c>
      <c r="O25" s="20">
        <v>6241614.25</v>
      </c>
      <c r="P25" s="20">
        <v>5198023.5</v>
      </c>
      <c r="Q25" s="21">
        <v>3287529.8199999994</v>
      </c>
      <c r="R25" s="27">
        <v>531977885.48000002</v>
      </c>
      <c r="S25" s="20">
        <v>21520220.752</v>
      </c>
      <c r="T25" s="20">
        <v>62537012.470000006</v>
      </c>
      <c r="U25" s="20">
        <v>442324540.49999988</v>
      </c>
      <c r="V25" s="67">
        <v>5596111.7579999994</v>
      </c>
      <c r="W25" s="69">
        <f t="shared" si="1"/>
        <v>6.2458708517591527E-2</v>
      </c>
      <c r="X25" s="69">
        <f t="shared" si="2"/>
        <v>0.10361068990394898</v>
      </c>
      <c r="Y25" s="69">
        <f t="shared" si="3"/>
        <v>6.3511385803812451E-2</v>
      </c>
      <c r="Z25" s="69">
        <f t="shared" si="4"/>
        <v>5.9741367922135462E-2</v>
      </c>
      <c r="AA25" s="69">
        <f t="shared" si="5"/>
        <v>0.10722468616574761</v>
      </c>
    </row>
    <row r="26" spans="1:27" x14ac:dyDescent="0.3">
      <c r="A26" s="22">
        <v>2016</v>
      </c>
      <c r="B26" s="24">
        <v>31384868.120999992</v>
      </c>
      <c r="C26" s="25">
        <v>1588949.65</v>
      </c>
      <c r="D26" s="25">
        <v>1920260.284</v>
      </c>
      <c r="E26" s="25">
        <v>27259941.375</v>
      </c>
      <c r="F26" s="26">
        <v>615716.81200000003</v>
      </c>
      <c r="G26" s="31">
        <v>31194513.245999996</v>
      </c>
      <c r="H26" s="27">
        <v>56541649.850000009</v>
      </c>
      <c r="I26" s="20">
        <v>1580031.71</v>
      </c>
      <c r="J26" s="20">
        <v>2436125.71</v>
      </c>
      <c r="K26" s="20">
        <v>52525492.430000007</v>
      </c>
      <c r="L26" s="21">
        <v>0</v>
      </c>
      <c r="M26" s="27">
        <v>14450434.810000001</v>
      </c>
      <c r="N26" s="20">
        <v>0</v>
      </c>
      <c r="O26" s="20">
        <v>4374965.5</v>
      </c>
      <c r="P26" s="20">
        <v>6567262</v>
      </c>
      <c r="Q26" s="21">
        <v>3508207.3099999996</v>
      </c>
      <c r="R26" s="27">
        <v>509790442.30599993</v>
      </c>
      <c r="S26" s="20">
        <v>15425933.396</v>
      </c>
      <c r="T26" s="20">
        <v>31013086.508000001</v>
      </c>
      <c r="U26" s="20">
        <v>457615913.28800011</v>
      </c>
      <c r="V26" s="67">
        <v>5735509.1140000001</v>
      </c>
      <c r="W26" s="69">
        <f t="shared" si="1"/>
        <v>6.1564253694190163E-2</v>
      </c>
      <c r="X26" s="69">
        <f t="shared" si="2"/>
        <v>0.10300508949507201</v>
      </c>
      <c r="Y26" s="69">
        <f t="shared" si="3"/>
        <v>6.1917741837938571E-2</v>
      </c>
      <c r="Z26" s="69">
        <f t="shared" si="4"/>
        <v>5.9569478646700785E-2</v>
      </c>
      <c r="AA26" s="69">
        <f t="shared" si="5"/>
        <v>0.10735172759068168</v>
      </c>
    </row>
    <row r="27" spans="1:27" x14ac:dyDescent="0.3">
      <c r="A27" s="22">
        <v>2017</v>
      </c>
      <c r="B27" s="24">
        <v>25268988.217000004</v>
      </c>
      <c r="C27" s="25">
        <v>763860.83099999989</v>
      </c>
      <c r="D27" s="25">
        <v>921364.22100000002</v>
      </c>
      <c r="E27" s="25">
        <v>22956907.199999999</v>
      </c>
      <c r="F27" s="26">
        <v>626855.96499999997</v>
      </c>
      <c r="G27" s="31">
        <v>25090586.816999998</v>
      </c>
      <c r="H27" s="27">
        <v>46268766.990000017</v>
      </c>
      <c r="I27" s="20">
        <v>811220.52</v>
      </c>
      <c r="J27" s="20">
        <v>1394198.27</v>
      </c>
      <c r="K27" s="20">
        <v>44063348.20000001</v>
      </c>
      <c r="L27" s="21">
        <v>0</v>
      </c>
      <c r="M27" s="27">
        <v>13505823.700000001</v>
      </c>
      <c r="N27" s="20">
        <v>0</v>
      </c>
      <c r="O27" s="20">
        <v>0</v>
      </c>
      <c r="P27" s="20">
        <v>9869336.75</v>
      </c>
      <c r="Q27" s="21">
        <v>3636486.95</v>
      </c>
      <c r="R27" s="27">
        <v>413877211.60400009</v>
      </c>
      <c r="S27" s="20">
        <v>8328069.6969999997</v>
      </c>
      <c r="T27" s="20">
        <v>14568743.101000002</v>
      </c>
      <c r="U27" s="20">
        <v>385098918.84200007</v>
      </c>
      <c r="V27" s="67">
        <v>5881479.9639999997</v>
      </c>
      <c r="W27" s="69">
        <f t="shared" si="1"/>
        <v>6.1054311541021748E-2</v>
      </c>
      <c r="X27" s="69">
        <f t="shared" si="2"/>
        <v>9.1721234186496262E-2</v>
      </c>
      <c r="Y27" s="69">
        <f t="shared" si="3"/>
        <v>6.3242533320308006E-2</v>
      </c>
      <c r="Z27" s="69">
        <f t="shared" si="4"/>
        <v>5.9613013895317771E-2</v>
      </c>
      <c r="AA27" s="69">
        <f t="shared" si="5"/>
        <v>0.10658133137185333</v>
      </c>
    </row>
    <row r="28" spans="1:27" x14ac:dyDescent="0.3">
      <c r="A28" s="22">
        <v>2018</v>
      </c>
      <c r="B28" s="24">
        <v>27973346.119999997</v>
      </c>
      <c r="C28" s="25">
        <v>703377.34</v>
      </c>
      <c r="D28" s="25">
        <v>1552644.6979999999</v>
      </c>
      <c r="E28" s="25">
        <v>25081090.505999994</v>
      </c>
      <c r="F28" s="26">
        <v>636233.576</v>
      </c>
      <c r="G28" s="31">
        <v>27727937.695</v>
      </c>
      <c r="H28" s="27">
        <v>50916129.160000004</v>
      </c>
      <c r="I28" s="20">
        <v>740729.97</v>
      </c>
      <c r="J28" s="20">
        <v>2317048.5999999996</v>
      </c>
      <c r="K28" s="20">
        <v>47858350.590000004</v>
      </c>
      <c r="L28" s="21">
        <v>0</v>
      </c>
      <c r="M28" s="27">
        <v>15985489.91</v>
      </c>
      <c r="N28" s="20">
        <v>0</v>
      </c>
      <c r="O28" s="20">
        <v>0</v>
      </c>
      <c r="P28" s="20">
        <v>12167526.75</v>
      </c>
      <c r="Q28" s="21">
        <v>3817963.16</v>
      </c>
      <c r="R28" s="27">
        <v>455564543.63000005</v>
      </c>
      <c r="S28" s="20">
        <v>6855388.3770000003</v>
      </c>
      <c r="T28" s="20">
        <v>23850768.093999997</v>
      </c>
      <c r="U28" s="20">
        <v>418872611.0620001</v>
      </c>
      <c r="V28" s="67">
        <v>5985776.0969999991</v>
      </c>
      <c r="W28" s="69">
        <f t="shared" si="1"/>
        <v>6.1403694627120413E-2</v>
      </c>
      <c r="X28" s="69">
        <f t="shared" si="2"/>
        <v>0.10260211403337097</v>
      </c>
      <c r="Y28" s="69">
        <f t="shared" si="3"/>
        <v>6.5098310120695432E-2</v>
      </c>
      <c r="Z28" s="69">
        <f t="shared" si="4"/>
        <v>5.9877609191037739E-2</v>
      </c>
      <c r="AA28" s="69">
        <f t="shared" si="5"/>
        <v>0.10629090792735679</v>
      </c>
    </row>
    <row r="29" spans="1:27" x14ac:dyDescent="0.3">
      <c r="A29" s="22">
        <v>2019</v>
      </c>
      <c r="B29" s="24">
        <v>24868687.187999994</v>
      </c>
      <c r="C29" s="25">
        <v>471968.848</v>
      </c>
      <c r="D29" s="25">
        <v>853770.90800000017</v>
      </c>
      <c r="E29" s="25">
        <v>22999224.370000005</v>
      </c>
      <c r="F29" s="26">
        <v>543723.06199999992</v>
      </c>
      <c r="G29" s="31">
        <v>24648769.513000008</v>
      </c>
      <c r="H29" s="27">
        <v>46706946.269999996</v>
      </c>
      <c r="I29" s="20">
        <v>472135.27999999997</v>
      </c>
      <c r="J29" s="20">
        <v>1287515.5499999998</v>
      </c>
      <c r="K29" s="20">
        <v>44947295.439999998</v>
      </c>
      <c r="L29" s="21">
        <v>0</v>
      </c>
      <c r="M29" s="27">
        <v>14002513.210000001</v>
      </c>
      <c r="N29" s="20">
        <v>0</v>
      </c>
      <c r="O29" s="20">
        <v>0</v>
      </c>
      <c r="P29" s="20">
        <v>10746574.75</v>
      </c>
      <c r="Q29" s="21">
        <v>3255938.4600000004</v>
      </c>
      <c r="R29" s="27">
        <v>409249660.86100006</v>
      </c>
      <c r="S29" s="20">
        <v>4600076.5839999998</v>
      </c>
      <c r="T29" s="20">
        <v>13675277.055999998</v>
      </c>
      <c r="U29" s="20">
        <v>385851883.90200007</v>
      </c>
      <c r="V29" s="67">
        <v>5122423.3190000001</v>
      </c>
      <c r="W29" s="69">
        <f t="shared" si="1"/>
        <v>6.0766543179730424E-2</v>
      </c>
      <c r="X29" s="69">
        <f t="shared" si="2"/>
        <v>0.10260021531850219</v>
      </c>
      <c r="Y29" s="69">
        <f t="shared" si="3"/>
        <v>6.2431708294012955E-2</v>
      </c>
      <c r="Z29" s="69">
        <f t="shared" si="4"/>
        <v>5.9606355001862378E-2</v>
      </c>
      <c r="AA29" s="69">
        <f t="shared" si="5"/>
        <v>0.10614567132381117</v>
      </c>
    </row>
    <row r="30" spans="1:27" x14ac:dyDescent="0.3">
      <c r="A30" s="22">
        <v>2020</v>
      </c>
      <c r="B30" s="24">
        <v>26868363.636999995</v>
      </c>
      <c r="C30" s="25">
        <v>174360.03</v>
      </c>
      <c r="D30" s="25">
        <v>461208.83299999998</v>
      </c>
      <c r="E30" s="25">
        <v>25638259.990999989</v>
      </c>
      <c r="F30" s="26">
        <v>594534.78300000005</v>
      </c>
      <c r="G30" s="31">
        <v>26718996.961999986</v>
      </c>
      <c r="H30" s="27">
        <v>51353884.090000004</v>
      </c>
      <c r="I30" s="20">
        <v>160267.26</v>
      </c>
      <c r="J30" s="20">
        <v>586739.97</v>
      </c>
      <c r="K30" s="20">
        <v>50606876.860000007</v>
      </c>
      <c r="L30" s="21">
        <v>0</v>
      </c>
      <c r="M30" s="27">
        <v>11894339.68</v>
      </c>
      <c r="N30" s="20">
        <v>0</v>
      </c>
      <c r="O30" s="20">
        <v>0</v>
      </c>
      <c r="P30" s="20">
        <v>8401223.75</v>
      </c>
      <c r="Q30" s="21">
        <v>3493115.93</v>
      </c>
      <c r="R30" s="27">
        <v>445227067.1839999</v>
      </c>
      <c r="S30" s="20">
        <v>1699406.159</v>
      </c>
      <c r="T30" s="20">
        <v>6676603.818</v>
      </c>
      <c r="U30" s="20">
        <v>431206422.42900008</v>
      </c>
      <c r="V30" s="67">
        <v>5644634.7779999999</v>
      </c>
      <c r="W30" s="69">
        <f t="shared" si="1"/>
        <v>6.0347552108497599E-2</v>
      </c>
      <c r="X30" s="69">
        <f t="shared" si="2"/>
        <v>0.10260056377729063</v>
      </c>
      <c r="Y30" s="69">
        <f t="shared" si="3"/>
        <v>6.9078358634458659E-2</v>
      </c>
      <c r="Z30" s="69">
        <f t="shared" si="4"/>
        <v>5.9457045761468069E-2</v>
      </c>
      <c r="AA30" s="69">
        <f t="shared" si="5"/>
        <v>0.105327413797825</v>
      </c>
    </row>
    <row r="31" spans="1:27" ht="15" thickBot="1" x14ac:dyDescent="0.35">
      <c r="A31" s="32">
        <v>2021</v>
      </c>
      <c r="B31" s="34">
        <v>28546529.206999999</v>
      </c>
      <c r="C31" s="35">
        <v>0</v>
      </c>
      <c r="D31" s="35">
        <v>313114.57299999997</v>
      </c>
      <c r="E31" s="35">
        <v>27619633.244000006</v>
      </c>
      <c r="F31" s="36">
        <v>613781.39</v>
      </c>
      <c r="G31" s="33">
        <v>28361711.656999975</v>
      </c>
      <c r="H31" s="37">
        <v>55105910.560000002</v>
      </c>
      <c r="I31" s="38">
        <v>0</v>
      </c>
      <c r="J31" s="38">
        <v>379942.78</v>
      </c>
      <c r="K31" s="38">
        <v>54725967.780000001</v>
      </c>
      <c r="L31" s="39">
        <v>0</v>
      </c>
      <c r="M31" s="37">
        <v>13481680.630000003</v>
      </c>
      <c r="N31" s="38">
        <v>0</v>
      </c>
      <c r="O31" s="38">
        <v>0</v>
      </c>
      <c r="P31" s="38">
        <v>10180194.25</v>
      </c>
      <c r="Q31" s="39">
        <v>3301486.38</v>
      </c>
      <c r="R31" s="37">
        <v>473152222.90800005</v>
      </c>
      <c r="S31" s="38">
        <v>0</v>
      </c>
      <c r="T31" s="38">
        <v>4439458.5299999993</v>
      </c>
      <c r="U31" s="38">
        <v>462895409.92500007</v>
      </c>
      <c r="V31" s="68">
        <v>5817354.4529999997</v>
      </c>
      <c r="W31" s="69">
        <f t="shared" si="1"/>
        <v>6.0332653689234808E-2</v>
      </c>
      <c r="X31" s="69"/>
      <c r="Y31" s="69">
        <f t="shared" si="3"/>
        <v>7.0529901537339068E-2</v>
      </c>
      <c r="Z31" s="69">
        <f t="shared" si="4"/>
        <v>5.9667114107860859E-2</v>
      </c>
      <c r="AA31" s="69">
        <f t="shared" si="5"/>
        <v>0.10550868009830035</v>
      </c>
    </row>
    <row r="33" spans="1:34" x14ac:dyDescent="0.3">
      <c r="A33" s="8" t="s">
        <v>72</v>
      </c>
      <c r="AC33" s="9" t="s">
        <v>77</v>
      </c>
    </row>
    <row r="34" spans="1:34" ht="15" thickBot="1" x14ac:dyDescent="0.35"/>
    <row r="35" spans="1:34" x14ac:dyDescent="0.3">
      <c r="B35">
        <f>(B31-B10)/B10</f>
        <v>-0.5001871690465014</v>
      </c>
      <c r="C35" t="s">
        <v>75</v>
      </c>
      <c r="AC35" s="10"/>
      <c r="AD35" s="148" t="s">
        <v>76</v>
      </c>
      <c r="AE35" s="149"/>
      <c r="AF35" s="149"/>
      <c r="AG35" s="149"/>
      <c r="AH35" s="150"/>
    </row>
    <row r="36" spans="1:34" ht="15" thickBot="1" x14ac:dyDescent="0.35">
      <c r="B36">
        <f>(B18-B10)/B10</f>
        <v>-0.24984909201205963</v>
      </c>
      <c r="C36" t="s">
        <v>73</v>
      </c>
      <c r="AC36" s="11" t="s">
        <v>24</v>
      </c>
      <c r="AD36" s="40" t="s">
        <v>10</v>
      </c>
      <c r="AE36" s="41" t="s">
        <v>26</v>
      </c>
      <c r="AF36" s="41" t="s">
        <v>27</v>
      </c>
      <c r="AG36" s="41" t="s">
        <v>28</v>
      </c>
      <c r="AH36" s="42" t="s">
        <v>29</v>
      </c>
    </row>
    <row r="37" spans="1:34" x14ac:dyDescent="0.3">
      <c r="B37">
        <f>(B19-B31)/B19</f>
        <v>0.25456965778881446</v>
      </c>
      <c r="C37" t="s">
        <v>74</v>
      </c>
      <c r="AC37" s="22">
        <v>2000</v>
      </c>
      <c r="AD37" s="24">
        <v>57114438.523999996</v>
      </c>
      <c r="AE37" s="25">
        <v>25546640.620000001</v>
      </c>
      <c r="AF37" s="25">
        <v>22488241.036000002</v>
      </c>
      <c r="AG37" s="25">
        <v>8411264.6209999993</v>
      </c>
      <c r="AH37" s="26">
        <v>0</v>
      </c>
    </row>
    <row r="38" spans="1:34" x14ac:dyDescent="0.3">
      <c r="AC38" s="22">
        <v>2001</v>
      </c>
      <c r="AD38" s="24">
        <v>53195854.009999998</v>
      </c>
      <c r="AE38" s="25">
        <v>23519892.351</v>
      </c>
      <c r="AF38" s="25">
        <v>20636550.932</v>
      </c>
      <c r="AG38" s="25">
        <v>9039410.727</v>
      </c>
      <c r="AH38" s="26">
        <v>0</v>
      </c>
    </row>
    <row r="39" spans="1:34" x14ac:dyDescent="0.3">
      <c r="AC39" s="22">
        <v>2002</v>
      </c>
      <c r="AD39" s="24">
        <v>51546524.308000028</v>
      </c>
      <c r="AE39" s="25">
        <v>24073494.399999995</v>
      </c>
      <c r="AF39" s="25">
        <v>17924259.535999998</v>
      </c>
      <c r="AG39" s="25">
        <v>9548770.3720000014</v>
      </c>
      <c r="AH39" s="26">
        <v>0</v>
      </c>
    </row>
    <row r="40" spans="1:34" x14ac:dyDescent="0.3">
      <c r="AC40" s="22">
        <v>2003</v>
      </c>
      <c r="AD40" s="24">
        <v>53240988.933000006</v>
      </c>
      <c r="AE40" s="25">
        <v>24491989.467999998</v>
      </c>
      <c r="AF40" s="25">
        <v>19789014.772999998</v>
      </c>
      <c r="AG40" s="25">
        <v>8959984.6920000035</v>
      </c>
      <c r="AH40" s="26">
        <v>0</v>
      </c>
    </row>
    <row r="41" spans="1:34" x14ac:dyDescent="0.3">
      <c r="AC41" s="22">
        <v>2004</v>
      </c>
      <c r="AD41" s="24">
        <v>55125940.991999999</v>
      </c>
      <c r="AE41" s="25">
        <v>23673987.589000002</v>
      </c>
      <c r="AF41" s="25">
        <v>19574348.627999995</v>
      </c>
      <c r="AG41" s="25">
        <v>11877604.775</v>
      </c>
      <c r="AH41" s="26">
        <v>0</v>
      </c>
    </row>
    <row r="42" spans="1:34" x14ac:dyDescent="0.3">
      <c r="AC42" s="22">
        <v>2005</v>
      </c>
      <c r="AD42" s="24">
        <v>56018927.693000004</v>
      </c>
      <c r="AE42" s="25">
        <v>22348514.740999997</v>
      </c>
      <c r="AF42" s="25">
        <v>20163454.165000003</v>
      </c>
      <c r="AG42" s="25">
        <v>13506958.787000002</v>
      </c>
      <c r="AH42" s="26">
        <v>0</v>
      </c>
    </row>
    <row r="43" spans="1:34" x14ac:dyDescent="0.3">
      <c r="AC43" s="22">
        <v>2006</v>
      </c>
      <c r="AD43" s="24">
        <v>47912219.015000001</v>
      </c>
      <c r="AE43" s="25">
        <v>22183541.135000005</v>
      </c>
      <c r="AF43" s="25">
        <v>10487480.450999999</v>
      </c>
      <c r="AG43" s="25">
        <v>15241197.428999998</v>
      </c>
      <c r="AH43" s="26">
        <v>0</v>
      </c>
    </row>
    <row r="44" spans="1:34" x14ac:dyDescent="0.3">
      <c r="AC44" s="22">
        <v>2007</v>
      </c>
      <c r="AD44" s="24">
        <v>49575411.034000002</v>
      </c>
      <c r="AE44" s="25">
        <v>21884899.247000001</v>
      </c>
      <c r="AF44" s="25">
        <v>10732638.831000002</v>
      </c>
      <c r="AG44" s="25">
        <v>16957872.956</v>
      </c>
      <c r="AH44" s="26">
        <v>0</v>
      </c>
    </row>
    <row r="45" spans="1:34" x14ac:dyDescent="0.3">
      <c r="AC45" s="22">
        <v>2008</v>
      </c>
      <c r="AD45" s="24">
        <v>42844447.917999998</v>
      </c>
      <c r="AE45" s="25">
        <v>18679354.706000004</v>
      </c>
      <c r="AF45" s="25">
        <v>8515621.0609999988</v>
      </c>
      <c r="AG45" s="25">
        <v>15205000.588000001</v>
      </c>
      <c r="AH45" s="26">
        <v>444471.56300000002</v>
      </c>
    </row>
    <row r="46" spans="1:34" x14ac:dyDescent="0.3">
      <c r="AC46" s="22">
        <v>2009</v>
      </c>
      <c r="AD46" s="24">
        <v>38295367.911000021</v>
      </c>
      <c r="AE46" s="25">
        <v>13637433.427000005</v>
      </c>
      <c r="AF46" s="25">
        <v>6394482.0640000002</v>
      </c>
      <c r="AG46" s="25">
        <v>18055052.019000005</v>
      </c>
      <c r="AH46" s="26">
        <v>208400.40100000001</v>
      </c>
    </row>
    <row r="47" spans="1:34" x14ac:dyDescent="0.3">
      <c r="AC47" s="22">
        <v>2010</v>
      </c>
      <c r="AD47" s="24">
        <v>42534712.958000012</v>
      </c>
      <c r="AE47" s="25">
        <v>14950792.331</v>
      </c>
      <c r="AF47" s="25">
        <v>6701372.2609999999</v>
      </c>
      <c r="AG47" s="25">
        <v>20793882.802999999</v>
      </c>
      <c r="AH47" s="26">
        <v>88665.562999999995</v>
      </c>
    </row>
    <row r="48" spans="1:34" x14ac:dyDescent="0.3">
      <c r="AC48" s="22">
        <v>2011</v>
      </c>
      <c r="AD48" s="24">
        <v>37420974.624000005</v>
      </c>
      <c r="AE48" s="25">
        <v>10394280.398999998</v>
      </c>
      <c r="AF48" s="25">
        <v>4201172.3810000001</v>
      </c>
      <c r="AG48" s="25">
        <v>22825521.843999997</v>
      </c>
      <c r="AH48" s="26">
        <v>0</v>
      </c>
    </row>
    <row r="49" spans="29:34" x14ac:dyDescent="0.3">
      <c r="AC49" s="22">
        <v>2012</v>
      </c>
      <c r="AD49" s="24">
        <v>35762480.59799996</v>
      </c>
      <c r="AE49" s="25">
        <v>5030163.7290000012</v>
      </c>
      <c r="AF49" s="25">
        <v>4349727.676</v>
      </c>
      <c r="AG49" s="25">
        <v>26195974.382000003</v>
      </c>
      <c r="AH49" s="26">
        <v>186614.81099999999</v>
      </c>
    </row>
    <row r="50" spans="29:34" x14ac:dyDescent="0.3">
      <c r="AC50" s="22">
        <v>2013</v>
      </c>
      <c r="AD50" s="24">
        <v>33943663.900999971</v>
      </c>
      <c r="AE50" s="25">
        <v>5463637.3000000007</v>
      </c>
      <c r="AF50" s="25">
        <v>3871161.9549999991</v>
      </c>
      <c r="AG50" s="25">
        <v>24534203.233000003</v>
      </c>
      <c r="AH50" s="26">
        <v>74661.413</v>
      </c>
    </row>
    <row r="51" spans="29:34" x14ac:dyDescent="0.3">
      <c r="AC51" s="22">
        <v>2014</v>
      </c>
      <c r="AD51" s="24">
        <v>34666066.641000018</v>
      </c>
      <c r="AE51" s="25">
        <v>4667127.2710000006</v>
      </c>
      <c r="AF51" s="25">
        <v>3575143.9379999996</v>
      </c>
      <c r="AG51" s="25">
        <v>25765912.031000003</v>
      </c>
      <c r="AH51" s="26">
        <v>657883.40100000007</v>
      </c>
    </row>
    <row r="52" spans="29:34" x14ac:dyDescent="0.3">
      <c r="AC52" s="22">
        <v>2015</v>
      </c>
      <c r="AD52" s="24">
        <v>33226651.687000006</v>
      </c>
      <c r="AE52" s="25">
        <v>2229724.9189999998</v>
      </c>
      <c r="AF52" s="25">
        <v>3971812.3260000004</v>
      </c>
      <c r="AG52" s="25">
        <v>26425073.115000002</v>
      </c>
      <c r="AH52" s="26">
        <v>600041.32700000005</v>
      </c>
    </row>
    <row r="53" spans="29:34" x14ac:dyDescent="0.3">
      <c r="AC53" s="22">
        <v>2016</v>
      </c>
      <c r="AD53" s="24">
        <v>31384868.120999992</v>
      </c>
      <c r="AE53" s="25">
        <v>1588949.65</v>
      </c>
      <c r="AF53" s="25">
        <v>1920260.284</v>
      </c>
      <c r="AG53" s="25">
        <v>27259941.375</v>
      </c>
      <c r="AH53" s="26">
        <v>615716.81200000003</v>
      </c>
    </row>
    <row r="54" spans="29:34" x14ac:dyDescent="0.3">
      <c r="AC54" s="22">
        <v>2017</v>
      </c>
      <c r="AD54" s="24">
        <v>25268988.217000004</v>
      </c>
      <c r="AE54" s="25">
        <v>763860.83099999989</v>
      </c>
      <c r="AF54" s="25">
        <v>921364.22100000002</v>
      </c>
      <c r="AG54" s="25">
        <v>22956907.199999999</v>
      </c>
      <c r="AH54" s="26">
        <v>626855.96499999997</v>
      </c>
    </row>
    <row r="55" spans="29:34" x14ac:dyDescent="0.3">
      <c r="AC55" s="22">
        <v>2018</v>
      </c>
      <c r="AD55" s="24">
        <v>27973346.119999997</v>
      </c>
      <c r="AE55" s="25">
        <v>703377.34</v>
      </c>
      <c r="AF55" s="25">
        <v>1552644.6979999999</v>
      </c>
      <c r="AG55" s="25">
        <v>25081090.505999994</v>
      </c>
      <c r="AH55" s="26">
        <v>636233.576</v>
      </c>
    </row>
    <row r="56" spans="29:34" x14ac:dyDescent="0.3">
      <c r="AC56" s="22">
        <v>2019</v>
      </c>
      <c r="AD56" s="24">
        <v>24868687.187999994</v>
      </c>
      <c r="AE56" s="25">
        <v>471968.848</v>
      </c>
      <c r="AF56" s="25">
        <v>853770.90800000017</v>
      </c>
      <c r="AG56" s="25">
        <v>22999224.370000005</v>
      </c>
      <c r="AH56" s="26">
        <v>543723.06199999992</v>
      </c>
    </row>
    <row r="57" spans="29:34" x14ac:dyDescent="0.3">
      <c r="AC57" s="22">
        <v>2020</v>
      </c>
      <c r="AD57" s="24">
        <v>26868363.636999995</v>
      </c>
      <c r="AE57" s="25">
        <v>174360.03</v>
      </c>
      <c r="AF57" s="25">
        <v>461208.83299999998</v>
      </c>
      <c r="AG57" s="25">
        <v>25638259.990999989</v>
      </c>
      <c r="AH57" s="26">
        <v>594534.78300000005</v>
      </c>
    </row>
    <row r="58" spans="29:34" ht="15" thickBot="1" x14ac:dyDescent="0.35">
      <c r="AC58" s="32">
        <v>2021</v>
      </c>
      <c r="AD58" s="34">
        <v>28546529.206999999</v>
      </c>
      <c r="AE58" s="35">
        <v>0</v>
      </c>
      <c r="AF58" s="35">
        <v>313114.57299999997</v>
      </c>
      <c r="AG58" s="35">
        <v>27619633.244000006</v>
      </c>
      <c r="AH58" s="36">
        <v>613781.39</v>
      </c>
    </row>
  </sheetData>
  <mergeCells count="6">
    <mergeCell ref="AD35:AH35"/>
    <mergeCell ref="H3:L3"/>
    <mergeCell ref="M3:Q3"/>
    <mergeCell ref="R3:V3"/>
    <mergeCell ref="B3:G3"/>
    <mergeCell ref="W3:A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29C9-1381-4066-81BC-4C3A9D3E1E28}">
  <dimension ref="B2:R84"/>
  <sheetViews>
    <sheetView workbookViewId="0">
      <selection activeCell="B2" sqref="B2"/>
    </sheetView>
  </sheetViews>
  <sheetFormatPr defaultRowHeight="14.4" x14ac:dyDescent="0.3"/>
  <cols>
    <col min="2" max="2" width="5" bestFit="1" customWidth="1"/>
    <col min="3" max="3" width="10.88671875" bestFit="1" customWidth="1"/>
    <col min="4" max="4" width="12.33203125" bestFit="1" customWidth="1"/>
    <col min="5" max="5" width="17.21875" bestFit="1" customWidth="1"/>
    <col min="6" max="6" width="11.44140625" bestFit="1" customWidth="1"/>
    <col min="7" max="7" width="21.33203125" bestFit="1" customWidth="1"/>
    <col min="8" max="8" width="9.77734375" bestFit="1" customWidth="1"/>
    <col min="9" max="9" width="10.88671875" bestFit="1" customWidth="1"/>
    <col min="10" max="10" width="12.44140625" bestFit="1" customWidth="1"/>
    <col min="11" max="11" width="17.44140625" bestFit="1" customWidth="1"/>
    <col min="12" max="12" width="22.21875" bestFit="1" customWidth="1"/>
    <col min="13" max="13" width="9.77734375" bestFit="1" customWidth="1"/>
    <col min="14" max="14" width="9.88671875" bestFit="1" customWidth="1"/>
    <col min="15" max="15" width="12.44140625" bestFit="1" customWidth="1"/>
    <col min="16" max="16" width="17.44140625" bestFit="1" customWidth="1"/>
    <col min="17" max="17" width="22.21875" bestFit="1" customWidth="1"/>
    <col min="18" max="18" width="9.77734375" bestFit="1" customWidth="1"/>
  </cols>
  <sheetData>
    <row r="2" spans="2:8" x14ac:dyDescent="0.3">
      <c r="B2" s="9" t="s">
        <v>183</v>
      </c>
    </row>
    <row r="3" spans="2:8" ht="15" thickBot="1" x14ac:dyDescent="0.35"/>
    <row r="4" spans="2:8" ht="15" thickBot="1" x14ac:dyDescent="0.35">
      <c r="B4" s="90"/>
      <c r="C4" s="152" t="s">
        <v>90</v>
      </c>
      <c r="D4" s="152"/>
      <c r="E4" s="152"/>
      <c r="F4" s="152"/>
      <c r="G4" s="152"/>
      <c r="H4" s="153"/>
    </row>
    <row r="5" spans="2:8" x14ac:dyDescent="0.3">
      <c r="B5" s="81"/>
      <c r="C5" s="87" t="s">
        <v>97</v>
      </c>
      <c r="D5" s="88" t="s">
        <v>91</v>
      </c>
      <c r="E5" s="88" t="s">
        <v>93</v>
      </c>
      <c r="F5" s="88" t="s">
        <v>177</v>
      </c>
      <c r="G5" s="88" t="s">
        <v>96</v>
      </c>
      <c r="H5" s="91" t="s">
        <v>98</v>
      </c>
    </row>
    <row r="6" spans="2:8" ht="15" thickBot="1" x14ac:dyDescent="0.35">
      <c r="B6" s="82" t="s">
        <v>24</v>
      </c>
      <c r="C6" s="40" t="s">
        <v>103</v>
      </c>
      <c r="D6" s="41" t="s">
        <v>92</v>
      </c>
      <c r="E6" s="41" t="s">
        <v>94</v>
      </c>
      <c r="F6" s="41" t="s">
        <v>178</v>
      </c>
      <c r="G6" s="41" t="s">
        <v>95</v>
      </c>
      <c r="H6" s="42" t="s">
        <v>99</v>
      </c>
    </row>
    <row r="7" spans="2:8" x14ac:dyDescent="0.3">
      <c r="B7" s="30">
        <v>2000</v>
      </c>
      <c r="C7" s="27">
        <v>57114438.523999996</v>
      </c>
      <c r="D7" s="84"/>
      <c r="E7" s="84"/>
      <c r="F7" s="84"/>
      <c r="G7" s="84"/>
      <c r="H7" s="84"/>
    </row>
    <row r="8" spans="2:8" x14ac:dyDescent="0.3">
      <c r="B8" s="22">
        <v>2001</v>
      </c>
      <c r="C8" s="24">
        <v>53195854.009999998</v>
      </c>
      <c r="D8" s="84"/>
      <c r="E8" s="84"/>
      <c r="F8" s="84"/>
      <c r="G8" s="84"/>
      <c r="H8" s="84"/>
    </row>
    <row r="9" spans="2:8" x14ac:dyDescent="0.3">
      <c r="B9" s="22">
        <v>2002</v>
      </c>
      <c r="C9" s="24">
        <v>51546524.308000028</v>
      </c>
      <c r="D9" s="84"/>
      <c r="E9" s="84"/>
      <c r="F9" s="84"/>
      <c r="G9" s="84"/>
      <c r="H9" s="84"/>
    </row>
    <row r="10" spans="2:8" x14ac:dyDescent="0.3">
      <c r="B10" s="22">
        <v>2003</v>
      </c>
      <c r="C10" s="24">
        <v>53240988.933000006</v>
      </c>
      <c r="D10" s="84"/>
      <c r="E10" s="84"/>
      <c r="F10" s="84"/>
      <c r="G10" s="84"/>
      <c r="H10" s="84"/>
    </row>
    <row r="11" spans="2:8" x14ac:dyDescent="0.3">
      <c r="B11" s="22">
        <v>2004</v>
      </c>
      <c r="C11" s="24">
        <v>55125940.991999999</v>
      </c>
      <c r="D11" s="84"/>
      <c r="E11" s="84"/>
      <c r="F11" s="84"/>
      <c r="G11" s="84"/>
      <c r="H11" s="84"/>
    </row>
    <row r="12" spans="2:8" x14ac:dyDescent="0.3">
      <c r="B12" s="22">
        <v>2005</v>
      </c>
      <c r="C12" s="24">
        <v>56018927.693000004</v>
      </c>
      <c r="D12" s="84"/>
      <c r="E12" s="84"/>
      <c r="F12" s="84"/>
      <c r="G12" s="84"/>
      <c r="H12" s="84"/>
    </row>
    <row r="13" spans="2:8" x14ac:dyDescent="0.3">
      <c r="B13" s="22">
        <v>2006</v>
      </c>
      <c r="C13" s="24">
        <v>47912219.015000001</v>
      </c>
      <c r="D13" s="84"/>
      <c r="E13" s="84"/>
      <c r="F13" s="84"/>
      <c r="G13" s="84"/>
      <c r="H13" s="84"/>
    </row>
    <row r="14" spans="2:8" x14ac:dyDescent="0.3">
      <c r="B14" s="22">
        <v>2007</v>
      </c>
      <c r="C14" s="24">
        <v>49575411.034000002</v>
      </c>
      <c r="D14" s="84"/>
      <c r="E14" s="84"/>
      <c r="F14" s="84"/>
      <c r="G14" s="84"/>
      <c r="H14" s="84"/>
    </row>
    <row r="15" spans="2:8" x14ac:dyDescent="0.3">
      <c r="B15" s="22">
        <v>2008</v>
      </c>
      <c r="C15" s="24">
        <v>42844447.917999998</v>
      </c>
      <c r="D15" s="25">
        <f>AVERAGE(C13:C15)</f>
        <v>46777359.322333336</v>
      </c>
      <c r="E15" s="85"/>
      <c r="F15" s="84"/>
      <c r="G15" s="84"/>
      <c r="H15" s="84"/>
    </row>
    <row r="16" spans="2:8" x14ac:dyDescent="0.3">
      <c r="B16" s="22">
        <v>2009</v>
      </c>
      <c r="C16" s="24">
        <v>38295367.911000021</v>
      </c>
      <c r="D16" s="83"/>
      <c r="E16" s="54">
        <f>C16-D$15</f>
        <v>-8481991.4113333151</v>
      </c>
      <c r="F16" s="134">
        <f>E16/D$15</f>
        <v>-0.18132685414936797</v>
      </c>
      <c r="G16" s="84"/>
      <c r="H16" s="84"/>
    </row>
    <row r="17" spans="2:18" x14ac:dyDescent="0.3">
      <c r="B17" s="22">
        <v>2010</v>
      </c>
      <c r="C17" s="24">
        <v>42534712.958000012</v>
      </c>
      <c r="D17" s="84"/>
      <c r="E17" s="54">
        <f t="shared" ref="E17:E28" si="0">C17-D$15</f>
        <v>-4242646.3643333241</v>
      </c>
      <c r="F17" s="134">
        <f t="shared" ref="F17:F28" si="1">E17/D$15</f>
        <v>-9.0698714630257443E-2</v>
      </c>
      <c r="G17" s="84"/>
      <c r="H17" s="84"/>
    </row>
    <row r="18" spans="2:18" x14ac:dyDescent="0.3">
      <c r="B18" s="22">
        <v>2011</v>
      </c>
      <c r="C18" s="24">
        <v>37420974.624000005</v>
      </c>
      <c r="D18" s="84"/>
      <c r="E18" s="54">
        <f t="shared" si="0"/>
        <v>-9356384.6983333305</v>
      </c>
      <c r="F18" s="134">
        <f t="shared" si="1"/>
        <v>-0.20001951443775123</v>
      </c>
      <c r="G18" s="84"/>
      <c r="H18" s="84"/>
    </row>
    <row r="19" spans="2:18" x14ac:dyDescent="0.3">
      <c r="B19" s="22">
        <v>2012</v>
      </c>
      <c r="C19" s="24">
        <v>35762480.59799996</v>
      </c>
      <c r="D19" s="84"/>
      <c r="E19" s="54">
        <f t="shared" si="0"/>
        <v>-11014878.724333376</v>
      </c>
      <c r="F19" s="134">
        <f t="shared" si="1"/>
        <v>-0.23547457325310031</v>
      </c>
      <c r="G19" s="85"/>
      <c r="H19" s="85"/>
    </row>
    <row r="20" spans="2:18" x14ac:dyDescent="0.3">
      <c r="B20" s="22">
        <v>2013</v>
      </c>
      <c r="C20" s="24">
        <v>33943663.900999971</v>
      </c>
      <c r="D20" s="84"/>
      <c r="E20" s="54">
        <f t="shared" si="0"/>
        <v>-12833695.421333365</v>
      </c>
      <c r="F20" s="134">
        <f t="shared" si="1"/>
        <v>-0.27435698823653043</v>
      </c>
      <c r="G20" s="25">
        <f>'Annual Benefits'!$P11</f>
        <v>146838</v>
      </c>
      <c r="H20" s="86">
        <f>-1*G20/E20</f>
        <v>1.1441599257210998E-2</v>
      </c>
    </row>
    <row r="21" spans="2:18" x14ac:dyDescent="0.3">
      <c r="B21" s="22">
        <v>2014</v>
      </c>
      <c r="C21" s="24">
        <v>34666066.641000018</v>
      </c>
      <c r="D21" s="84"/>
      <c r="E21" s="54">
        <f t="shared" si="0"/>
        <v>-12111292.681333318</v>
      </c>
      <c r="F21" s="134">
        <f t="shared" si="1"/>
        <v>-0.25891356110713404</v>
      </c>
      <c r="G21" s="25">
        <f>'Annual Benefits'!$P12</f>
        <v>408003</v>
      </c>
      <c r="H21" s="86">
        <f t="shared" ref="H21:H28" si="2">-1*G21/E21</f>
        <v>3.3687816051942973E-2</v>
      </c>
    </row>
    <row r="22" spans="2:18" x14ac:dyDescent="0.3">
      <c r="B22" s="22">
        <v>2015</v>
      </c>
      <c r="C22" s="24">
        <v>33226651.687000006</v>
      </c>
      <c r="D22" s="84"/>
      <c r="E22" s="54">
        <f t="shared" si="0"/>
        <v>-13550707.635333329</v>
      </c>
      <c r="F22" s="134">
        <f t="shared" si="1"/>
        <v>-0.28968517743719008</v>
      </c>
      <c r="G22" s="25">
        <f>'Annual Benefits'!$P13</f>
        <v>759805</v>
      </c>
      <c r="H22" s="86">
        <f t="shared" si="2"/>
        <v>5.6071241476630812E-2</v>
      </c>
    </row>
    <row r="23" spans="2:18" x14ac:dyDescent="0.3">
      <c r="B23" s="22">
        <v>2016</v>
      </c>
      <c r="C23" s="24">
        <v>31384868.120999992</v>
      </c>
      <c r="D23" s="84"/>
      <c r="E23" s="54">
        <f t="shared" si="0"/>
        <v>-15392491.201333344</v>
      </c>
      <c r="F23" s="134">
        <f t="shared" si="1"/>
        <v>-0.32905857500990587</v>
      </c>
      <c r="G23" s="25">
        <f>'Annual Benefits'!$P14</f>
        <v>1436071</v>
      </c>
      <c r="H23" s="86">
        <f t="shared" si="2"/>
        <v>9.329685372018294E-2</v>
      </c>
    </row>
    <row r="24" spans="2:18" x14ac:dyDescent="0.3">
      <c r="B24" s="22">
        <v>2017</v>
      </c>
      <c r="C24" s="24">
        <v>25268988.217000004</v>
      </c>
      <c r="D24" s="84"/>
      <c r="E24" s="54">
        <f t="shared" si="0"/>
        <v>-21508371.105333332</v>
      </c>
      <c r="F24" s="134">
        <f t="shared" si="1"/>
        <v>-0.45980302045533378</v>
      </c>
      <c r="G24" s="25">
        <f>'Annual Benefits'!$P15</f>
        <v>2326439</v>
      </c>
      <c r="H24" s="86">
        <f t="shared" si="2"/>
        <v>0.10816435092209858</v>
      </c>
    </row>
    <row r="25" spans="2:18" x14ac:dyDescent="0.3">
      <c r="B25" s="22">
        <v>2018</v>
      </c>
      <c r="C25" s="24">
        <v>27973346.119999997</v>
      </c>
      <c r="D25" s="84"/>
      <c r="E25" s="54">
        <f t="shared" si="0"/>
        <v>-18804013.202333339</v>
      </c>
      <c r="F25" s="134">
        <f t="shared" si="1"/>
        <v>-0.40198962649342135</v>
      </c>
      <c r="G25" s="25">
        <f>'Annual Benefits'!$P16</f>
        <v>3443026</v>
      </c>
      <c r="H25" s="86">
        <f t="shared" si="2"/>
        <v>0.18310059469500714</v>
      </c>
    </row>
    <row r="26" spans="2:18" x14ac:dyDescent="0.3">
      <c r="B26" s="22">
        <v>2019</v>
      </c>
      <c r="C26" s="24">
        <v>24868687.187999994</v>
      </c>
      <c r="D26" s="84"/>
      <c r="E26" s="54">
        <f t="shared" si="0"/>
        <v>-21908672.134333342</v>
      </c>
      <c r="F26" s="134">
        <f t="shared" si="1"/>
        <v>-0.46836060119095452</v>
      </c>
      <c r="G26" s="25">
        <f>'Annual Benefits'!$P17</f>
        <v>4420448</v>
      </c>
      <c r="H26" s="86">
        <f t="shared" si="2"/>
        <v>0.20176704333772302</v>
      </c>
    </row>
    <row r="27" spans="2:18" x14ac:dyDescent="0.3">
      <c r="B27" s="22">
        <v>2020</v>
      </c>
      <c r="C27" s="24">
        <v>26868363.636999995</v>
      </c>
      <c r="D27" s="84"/>
      <c r="E27" s="54">
        <f t="shared" si="0"/>
        <v>-19908995.685333341</v>
      </c>
      <c r="F27" s="134">
        <f t="shared" si="1"/>
        <v>-0.42561179112622566</v>
      </c>
      <c r="G27" s="25">
        <f>'Annual Benefits'!$P18</f>
        <v>5867385</v>
      </c>
      <c r="H27" s="86">
        <f t="shared" si="2"/>
        <v>0.29471024519445821</v>
      </c>
    </row>
    <row r="28" spans="2:18" ht="15" thickBot="1" x14ac:dyDescent="0.35">
      <c r="B28" s="32">
        <v>2021</v>
      </c>
      <c r="C28" s="34">
        <v>28546529.206999999</v>
      </c>
      <c r="D28" s="85"/>
      <c r="E28" s="54">
        <f t="shared" si="0"/>
        <v>-18230830.115333337</v>
      </c>
      <c r="F28" s="134">
        <f t="shared" si="1"/>
        <v>-0.38973619672945559</v>
      </c>
      <c r="G28" s="25">
        <f>'Annual Benefits'!$P19</f>
        <v>7460423</v>
      </c>
      <c r="H28" s="86">
        <f t="shared" si="2"/>
        <v>0.4092201481119222</v>
      </c>
    </row>
    <row r="29" spans="2:18" x14ac:dyDescent="0.3">
      <c r="C29" s="3"/>
      <c r="E29" s="50"/>
      <c r="F29" s="50"/>
      <c r="G29" s="3"/>
      <c r="H29" s="89"/>
    </row>
    <row r="30" spans="2:18" x14ac:dyDescent="0.3">
      <c r="B30" s="9" t="s">
        <v>183</v>
      </c>
      <c r="C30" s="3"/>
      <c r="E30" s="50"/>
      <c r="F30" s="50"/>
      <c r="G30" s="3"/>
      <c r="H30" s="89"/>
    </row>
    <row r="31" spans="2:18" ht="15" thickBot="1" x14ac:dyDescent="0.35">
      <c r="C31" s="3"/>
      <c r="E31" s="50"/>
      <c r="F31" s="50"/>
      <c r="G31" s="3"/>
      <c r="H31" s="89"/>
      <c r="I31" s="3"/>
      <c r="K31" s="50"/>
      <c r="L31" s="3"/>
      <c r="M31" s="89"/>
      <c r="N31" s="3"/>
      <c r="P31" s="50"/>
      <c r="Q31" s="3"/>
      <c r="R31" s="89"/>
    </row>
    <row r="32" spans="2:18" ht="15" thickBot="1" x14ac:dyDescent="0.35">
      <c r="B32" s="90"/>
      <c r="C32" s="152" t="s">
        <v>100</v>
      </c>
      <c r="D32" s="152"/>
      <c r="E32" s="152"/>
      <c r="F32" s="152"/>
      <c r="G32" s="152"/>
      <c r="H32" s="153"/>
    </row>
    <row r="33" spans="2:8" x14ac:dyDescent="0.3">
      <c r="B33" s="81"/>
      <c r="C33" s="87" t="s">
        <v>97</v>
      </c>
      <c r="D33" s="88" t="s">
        <v>91</v>
      </c>
      <c r="E33" s="88" t="s">
        <v>93</v>
      </c>
      <c r="F33" s="88"/>
      <c r="G33" s="88" t="s">
        <v>96</v>
      </c>
      <c r="H33" s="91" t="s">
        <v>98</v>
      </c>
    </row>
    <row r="34" spans="2:8" ht="15" thickBot="1" x14ac:dyDescent="0.35">
      <c r="B34" s="82" t="s">
        <v>24</v>
      </c>
      <c r="C34" s="40" t="s">
        <v>102</v>
      </c>
      <c r="D34" s="41" t="s">
        <v>92</v>
      </c>
      <c r="E34" s="41" t="s">
        <v>94</v>
      </c>
      <c r="F34" s="41"/>
      <c r="G34" s="41" t="s">
        <v>95</v>
      </c>
      <c r="H34" s="42" t="s">
        <v>99</v>
      </c>
    </row>
    <row r="35" spans="2:8" x14ac:dyDescent="0.3">
      <c r="B35" s="30">
        <v>2000</v>
      </c>
      <c r="C35" s="27">
        <v>667786986.89100003</v>
      </c>
      <c r="D35" s="84"/>
      <c r="E35" s="84"/>
      <c r="F35" s="84"/>
      <c r="G35" s="84"/>
      <c r="H35" s="84"/>
    </row>
    <row r="36" spans="2:8" x14ac:dyDescent="0.3">
      <c r="B36" s="22">
        <v>2001</v>
      </c>
      <c r="C36" s="27">
        <v>659835399.95700026</v>
      </c>
      <c r="D36" s="84"/>
      <c r="E36" s="84"/>
      <c r="F36" s="84"/>
      <c r="G36" s="84"/>
      <c r="H36" s="84"/>
    </row>
    <row r="37" spans="2:8" x14ac:dyDescent="0.3">
      <c r="B37" s="22">
        <v>2002</v>
      </c>
      <c r="C37" s="27">
        <v>652413289.62899983</v>
      </c>
      <c r="D37" s="84"/>
      <c r="E37" s="84"/>
      <c r="F37" s="84"/>
      <c r="G37" s="84"/>
      <c r="H37" s="84"/>
    </row>
    <row r="38" spans="2:8" x14ac:dyDescent="0.3">
      <c r="B38" s="22">
        <v>2003</v>
      </c>
      <c r="C38" s="27">
        <v>647208700.95200026</v>
      </c>
      <c r="D38" s="84"/>
      <c r="E38" s="84"/>
      <c r="F38" s="84"/>
      <c r="G38" s="84"/>
      <c r="H38" s="84"/>
    </row>
    <row r="39" spans="2:8" x14ac:dyDescent="0.3">
      <c r="B39" s="22">
        <v>2004</v>
      </c>
      <c r="C39" s="27">
        <v>679722558.55299938</v>
      </c>
      <c r="D39" s="84"/>
      <c r="E39" s="84"/>
      <c r="F39" s="84"/>
      <c r="G39" s="84"/>
      <c r="H39" s="84"/>
    </row>
    <row r="40" spans="2:8" x14ac:dyDescent="0.3">
      <c r="B40" s="22">
        <v>2005</v>
      </c>
      <c r="C40" s="27">
        <v>698650824.08899999</v>
      </c>
      <c r="D40" s="84"/>
      <c r="E40" s="84"/>
      <c r="F40" s="84"/>
      <c r="G40" s="84"/>
      <c r="H40" s="84"/>
    </row>
    <row r="41" spans="2:8" x14ac:dyDescent="0.3">
      <c r="B41" s="22">
        <v>2006</v>
      </c>
      <c r="C41" s="27">
        <v>622916514.34599996</v>
      </c>
      <c r="D41" s="84"/>
      <c r="E41" s="84"/>
      <c r="F41" s="84"/>
      <c r="G41" s="84"/>
      <c r="H41" s="84"/>
    </row>
    <row r="42" spans="2:8" x14ac:dyDescent="0.3">
      <c r="B42" s="22">
        <v>2007</v>
      </c>
      <c r="C42" s="27">
        <v>653896237.06200016</v>
      </c>
      <c r="D42" s="84"/>
      <c r="E42" s="84"/>
      <c r="F42" s="84"/>
      <c r="G42" s="84"/>
      <c r="H42" s="84"/>
    </row>
    <row r="43" spans="2:8" x14ac:dyDescent="0.3">
      <c r="B43" s="22">
        <v>2008</v>
      </c>
      <c r="C43" s="27">
        <v>632755231.95200014</v>
      </c>
      <c r="D43" s="25">
        <f>AVERAGE(C41:C43)</f>
        <v>636522661.12</v>
      </c>
      <c r="E43" s="85"/>
      <c r="F43" s="84"/>
      <c r="G43" s="84"/>
      <c r="H43" s="84"/>
    </row>
    <row r="44" spans="2:8" x14ac:dyDescent="0.3">
      <c r="B44" s="22">
        <v>2009</v>
      </c>
      <c r="C44" s="27">
        <v>534677752.38399994</v>
      </c>
      <c r="D44" s="83"/>
      <c r="E44" s="54">
        <f t="shared" ref="E44:E56" si="3">C44-D$43</f>
        <v>-101844908.73600006</v>
      </c>
      <c r="F44" s="134">
        <f>E44/D$15</f>
        <v>-2.1772265517214722</v>
      </c>
      <c r="G44" s="84"/>
      <c r="H44" s="84"/>
    </row>
    <row r="45" spans="2:8" x14ac:dyDescent="0.3">
      <c r="B45" s="22">
        <v>2010</v>
      </c>
      <c r="C45" s="27">
        <v>601324759.71600068</v>
      </c>
      <c r="D45" s="84"/>
      <c r="E45" s="54">
        <f t="shared" si="3"/>
        <v>-35197901.403999329</v>
      </c>
      <c r="F45" s="134">
        <f t="shared" ref="F45:F56" si="4">E45/D$15</f>
        <v>-0.75245592983258625</v>
      </c>
      <c r="G45" s="84"/>
      <c r="H45" s="84"/>
    </row>
    <row r="46" spans="2:8" x14ac:dyDescent="0.3">
      <c r="B46" s="22">
        <v>2011</v>
      </c>
      <c r="C46" s="27">
        <v>551169137.54299998</v>
      </c>
      <c r="D46" s="84"/>
      <c r="E46" s="54">
        <f t="shared" si="3"/>
        <v>-85353523.577000022</v>
      </c>
      <c r="F46" s="134">
        <f t="shared" si="4"/>
        <v>-1.8246759717419303</v>
      </c>
      <c r="G46" s="84"/>
      <c r="H46" s="84"/>
    </row>
    <row r="47" spans="2:8" x14ac:dyDescent="0.3">
      <c r="B47" s="22">
        <v>2012</v>
      </c>
      <c r="C47" s="27">
        <v>562170029.93999982</v>
      </c>
      <c r="D47" s="84"/>
      <c r="E47" s="54">
        <f t="shared" si="3"/>
        <v>-74352631.180000186</v>
      </c>
      <c r="F47" s="134">
        <f t="shared" si="4"/>
        <v>-1.5895003962846903</v>
      </c>
      <c r="G47" s="85"/>
      <c r="H47" s="85"/>
    </row>
    <row r="48" spans="2:8" x14ac:dyDescent="0.3">
      <c r="B48" s="22">
        <v>2013</v>
      </c>
      <c r="C48" s="27">
        <v>527826835.55400008</v>
      </c>
      <c r="D48" s="84"/>
      <c r="E48" s="54">
        <f t="shared" si="3"/>
        <v>-108695825.56599993</v>
      </c>
      <c r="F48" s="134">
        <f t="shared" si="4"/>
        <v>-2.3236845161993633</v>
      </c>
      <c r="G48" s="25">
        <f>SUM('Annual Benefits'!V$11:'Annual Benefits'!W11)</f>
        <v>2747286</v>
      </c>
      <c r="H48" s="86">
        <f t="shared" ref="H48:H56" si="5">-1*G48/E48</f>
        <v>2.5274990881152586E-2</v>
      </c>
    </row>
    <row r="49" spans="2:8" x14ac:dyDescent="0.3">
      <c r="B49" s="22">
        <v>2014</v>
      </c>
      <c r="C49" s="27">
        <v>537635655.71499979</v>
      </c>
      <c r="D49" s="84"/>
      <c r="E49" s="54">
        <f t="shared" si="3"/>
        <v>-98887005.40500021</v>
      </c>
      <c r="F49" s="134">
        <f t="shared" si="4"/>
        <v>-2.1139928982221896</v>
      </c>
      <c r="G49" s="25">
        <f>SUM('Annual Benefits'!V$11:'Annual Benefits'!W12)</f>
        <v>8497921</v>
      </c>
      <c r="H49" s="86">
        <f t="shared" si="5"/>
        <v>8.5935669355099151E-2</v>
      </c>
    </row>
    <row r="50" spans="2:8" x14ac:dyDescent="0.3">
      <c r="B50" s="22">
        <v>2015</v>
      </c>
      <c r="C50" s="27">
        <v>531977885.48000002</v>
      </c>
      <c r="D50" s="84"/>
      <c r="E50" s="54">
        <f t="shared" si="3"/>
        <v>-104544775.63999999</v>
      </c>
      <c r="F50" s="134">
        <f t="shared" si="4"/>
        <v>-2.2349439377200206</v>
      </c>
      <c r="G50" s="25">
        <f>SUM('Annual Benefits'!V$11:'Annual Benefits'!W13)</f>
        <v>17323398</v>
      </c>
      <c r="H50" s="86">
        <f t="shared" si="5"/>
        <v>0.16570314388213078</v>
      </c>
    </row>
    <row r="51" spans="2:8" x14ac:dyDescent="0.3">
      <c r="B51" s="22">
        <v>2016</v>
      </c>
      <c r="C51" s="27">
        <v>509790442.30599993</v>
      </c>
      <c r="D51" s="84"/>
      <c r="E51" s="54">
        <f t="shared" si="3"/>
        <v>-126732218.81400007</v>
      </c>
      <c r="F51" s="134">
        <f t="shared" si="4"/>
        <v>-2.7092640681299245</v>
      </c>
      <c r="G51" s="25">
        <f>SUM('Annual Benefits'!V$11:'Annual Benefits'!W14)</f>
        <v>28974834</v>
      </c>
      <c r="H51" s="86">
        <f t="shared" si="5"/>
        <v>0.22863036938164266</v>
      </c>
    </row>
    <row r="52" spans="2:8" x14ac:dyDescent="0.3">
      <c r="B52" s="22">
        <v>2017</v>
      </c>
      <c r="C52" s="27">
        <v>413877211.60400009</v>
      </c>
      <c r="D52" s="84"/>
      <c r="E52" s="54">
        <f t="shared" si="3"/>
        <v>-222645449.51599991</v>
      </c>
      <c r="F52" s="134">
        <f t="shared" si="4"/>
        <v>-4.7596840168294898</v>
      </c>
      <c r="G52" s="25">
        <f>SUM('Annual Benefits'!V$11:'Annual Benefits'!W15)</f>
        <v>44384808</v>
      </c>
      <c r="H52" s="86">
        <f t="shared" si="5"/>
        <v>0.19935196563184368</v>
      </c>
    </row>
    <row r="53" spans="2:8" x14ac:dyDescent="0.3">
      <c r="B53" s="22">
        <v>2018</v>
      </c>
      <c r="C53" s="27">
        <v>455564543.63000005</v>
      </c>
      <c r="D53" s="84"/>
      <c r="E53" s="54">
        <f t="shared" si="3"/>
        <v>-180958117.48999995</v>
      </c>
      <c r="F53" s="134">
        <f t="shared" si="4"/>
        <v>-3.8684979253115617</v>
      </c>
      <c r="G53" s="25">
        <f>SUM('Annual Benefits'!V$11:'Annual Benefits'!W16)</f>
        <v>63144840</v>
      </c>
      <c r="H53" s="86">
        <f t="shared" si="5"/>
        <v>0.3489472640180924</v>
      </c>
    </row>
    <row r="54" spans="2:8" x14ac:dyDescent="0.3">
      <c r="B54" s="22">
        <v>2019</v>
      </c>
      <c r="C54" s="27">
        <v>409249660.86100006</v>
      </c>
      <c r="D54" s="84"/>
      <c r="E54" s="54">
        <f t="shared" si="3"/>
        <v>-227273000.25899994</v>
      </c>
      <c r="F54" s="134">
        <f t="shared" si="4"/>
        <v>-4.8586111647070025</v>
      </c>
      <c r="G54" s="25">
        <f>SUM('Annual Benefits'!V$11:'Annual Benefits'!W17)</f>
        <v>85142543</v>
      </c>
      <c r="H54" s="86">
        <f t="shared" si="5"/>
        <v>0.37462673922098838</v>
      </c>
    </row>
    <row r="55" spans="2:8" x14ac:dyDescent="0.3">
      <c r="B55" s="22">
        <v>2020</v>
      </c>
      <c r="C55" s="27">
        <v>445227067.1839999</v>
      </c>
      <c r="D55" s="84"/>
      <c r="E55" s="54">
        <f t="shared" si="3"/>
        <v>-191295593.93600011</v>
      </c>
      <c r="F55" s="134">
        <f t="shared" si="4"/>
        <v>-4.0894910851598274</v>
      </c>
      <c r="G55" s="25">
        <f>SUM('Annual Benefits'!V$11:'Annual Benefits'!W18)</f>
        <v>117302853</v>
      </c>
      <c r="H55" s="86">
        <f t="shared" si="5"/>
        <v>0.61320206381358089</v>
      </c>
    </row>
    <row r="56" spans="2:8" ht="15" thickBot="1" x14ac:dyDescent="0.35">
      <c r="B56" s="32">
        <v>2021</v>
      </c>
      <c r="C56" s="37">
        <v>473152222.90800005</v>
      </c>
      <c r="D56" s="85"/>
      <c r="E56" s="54">
        <f t="shared" si="3"/>
        <v>-163370438.21199995</v>
      </c>
      <c r="F56" s="134">
        <f t="shared" si="4"/>
        <v>-3.4925109193583856</v>
      </c>
      <c r="G56" s="25">
        <f>SUM('Annual Benefits'!V$11:'Annual Benefits'!W19)</f>
        <v>158474171</v>
      </c>
      <c r="H56" s="86">
        <f t="shared" si="5"/>
        <v>0.97002966224742426</v>
      </c>
    </row>
    <row r="57" spans="2:8" x14ac:dyDescent="0.3">
      <c r="C57" s="3"/>
      <c r="E57" s="50"/>
      <c r="F57" s="50"/>
      <c r="G57" s="3"/>
      <c r="H57" s="89"/>
    </row>
    <row r="58" spans="2:8" x14ac:dyDescent="0.3">
      <c r="B58" s="9" t="s">
        <v>183</v>
      </c>
      <c r="C58" s="3"/>
      <c r="E58" s="50"/>
      <c r="F58" s="50"/>
      <c r="G58" s="3"/>
      <c r="H58" s="89"/>
    </row>
    <row r="59" spans="2:8" ht="15" thickBot="1" x14ac:dyDescent="0.35"/>
    <row r="60" spans="2:8" ht="15" thickBot="1" x14ac:dyDescent="0.35">
      <c r="B60" s="90"/>
      <c r="C60" s="152" t="s">
        <v>101</v>
      </c>
      <c r="D60" s="152"/>
      <c r="E60" s="152"/>
      <c r="F60" s="152"/>
      <c r="G60" s="152"/>
      <c r="H60" s="153"/>
    </row>
    <row r="61" spans="2:8" x14ac:dyDescent="0.3">
      <c r="B61" s="81"/>
      <c r="C61" s="87" t="s">
        <v>97</v>
      </c>
      <c r="D61" s="88" t="s">
        <v>91</v>
      </c>
      <c r="E61" s="88" t="s">
        <v>93</v>
      </c>
      <c r="F61" s="88"/>
      <c r="G61" s="88" t="s">
        <v>96</v>
      </c>
      <c r="H61" s="91" t="s">
        <v>98</v>
      </c>
    </row>
    <row r="62" spans="2:8" ht="15" thickBot="1" x14ac:dyDescent="0.35">
      <c r="B62" s="82" t="s">
        <v>24</v>
      </c>
      <c r="C62" s="40" t="s">
        <v>90</v>
      </c>
      <c r="D62" s="41" t="s">
        <v>92</v>
      </c>
      <c r="E62" s="41" t="s">
        <v>94</v>
      </c>
      <c r="F62" s="41"/>
      <c r="G62" s="41" t="s">
        <v>95</v>
      </c>
      <c r="H62" s="42" t="s">
        <v>99</v>
      </c>
    </row>
    <row r="63" spans="2:8" x14ac:dyDescent="0.3">
      <c r="B63" s="30">
        <v>2000</v>
      </c>
      <c r="C63" s="27">
        <v>57114438.523999996</v>
      </c>
      <c r="D63" s="84"/>
      <c r="E63" s="84"/>
      <c r="F63" s="84"/>
      <c r="G63" s="84"/>
      <c r="H63" s="84"/>
    </row>
    <row r="64" spans="2:8" x14ac:dyDescent="0.3">
      <c r="B64" s="22">
        <v>2001</v>
      </c>
      <c r="C64" s="24">
        <v>53195854.009999998</v>
      </c>
      <c r="D64" s="84"/>
      <c r="E64" s="84"/>
      <c r="F64" s="84"/>
      <c r="G64" s="84"/>
      <c r="H64" s="84"/>
    </row>
    <row r="65" spans="2:8" x14ac:dyDescent="0.3">
      <c r="B65" s="22">
        <v>2002</v>
      </c>
      <c r="C65" s="24">
        <v>51546524.308000028</v>
      </c>
      <c r="D65" s="84"/>
      <c r="E65" s="84"/>
      <c r="F65" s="84"/>
      <c r="G65" s="84"/>
      <c r="H65" s="84"/>
    </row>
    <row r="66" spans="2:8" x14ac:dyDescent="0.3">
      <c r="B66" s="22">
        <v>2003</v>
      </c>
      <c r="C66" s="24">
        <v>53240988.933000006</v>
      </c>
      <c r="D66" s="84"/>
      <c r="E66" s="84"/>
      <c r="F66" s="84"/>
      <c r="G66" s="84"/>
      <c r="H66" s="84"/>
    </row>
    <row r="67" spans="2:8" x14ac:dyDescent="0.3">
      <c r="B67" s="22">
        <v>2004</v>
      </c>
      <c r="C67" s="24">
        <v>55125940.991999999</v>
      </c>
      <c r="D67" s="84"/>
      <c r="E67" s="84"/>
      <c r="F67" s="84"/>
      <c r="G67" s="84"/>
      <c r="H67" s="84"/>
    </row>
    <row r="68" spans="2:8" x14ac:dyDescent="0.3">
      <c r="B68" s="22">
        <v>2005</v>
      </c>
      <c r="C68" s="24">
        <v>56018927.693000004</v>
      </c>
      <c r="D68" s="84"/>
      <c r="E68" s="84"/>
      <c r="F68" s="84"/>
      <c r="G68" s="84"/>
      <c r="H68" s="84"/>
    </row>
    <row r="69" spans="2:8" x14ac:dyDescent="0.3">
      <c r="B69" s="22">
        <v>2006</v>
      </c>
      <c r="C69" s="24">
        <v>47912219.015000001</v>
      </c>
      <c r="D69" s="84"/>
      <c r="E69" s="84"/>
      <c r="F69" s="84"/>
      <c r="G69" s="84"/>
      <c r="H69" s="84"/>
    </row>
    <row r="70" spans="2:8" x14ac:dyDescent="0.3">
      <c r="B70" s="22">
        <v>2007</v>
      </c>
      <c r="C70" s="24">
        <v>49575411.034000002</v>
      </c>
      <c r="D70" s="84"/>
      <c r="E70" s="84"/>
      <c r="F70" s="84"/>
      <c r="G70" s="84"/>
      <c r="H70" s="84"/>
    </row>
    <row r="71" spans="2:8" x14ac:dyDescent="0.3">
      <c r="B71" s="22">
        <v>2008</v>
      </c>
      <c r="C71" s="24">
        <v>42844447.917999998</v>
      </c>
      <c r="D71" s="25">
        <f>AVERAGE(C69:C71)</f>
        <v>46777359.322333336</v>
      </c>
      <c r="E71" s="85"/>
      <c r="F71" s="84"/>
      <c r="G71" s="84"/>
      <c r="H71" s="84"/>
    </row>
    <row r="72" spans="2:8" x14ac:dyDescent="0.3">
      <c r="B72" s="22">
        <v>2009</v>
      </c>
      <c r="C72" s="24">
        <v>38295367.911000021</v>
      </c>
      <c r="D72" s="83"/>
      <c r="E72" s="54">
        <f t="shared" ref="E72:E84" si="6">C72-D$71</f>
        <v>-8481991.4113333151</v>
      </c>
      <c r="F72" s="134">
        <f>E72/D$15</f>
        <v>-0.18132685414936797</v>
      </c>
      <c r="G72" s="84"/>
      <c r="H72" s="84"/>
    </row>
    <row r="73" spans="2:8" x14ac:dyDescent="0.3">
      <c r="B73" s="22">
        <v>2010</v>
      </c>
      <c r="C73" s="24">
        <v>42534712.958000012</v>
      </c>
      <c r="D73" s="84"/>
      <c r="E73" s="54">
        <f t="shared" si="6"/>
        <v>-4242646.3643333241</v>
      </c>
      <c r="F73" s="134">
        <f t="shared" ref="F73:F84" si="7">E73/D$15</f>
        <v>-9.0698714630257443E-2</v>
      </c>
      <c r="G73" s="84"/>
      <c r="H73" s="84"/>
    </row>
    <row r="74" spans="2:8" x14ac:dyDescent="0.3">
      <c r="B74" s="22">
        <v>2011</v>
      </c>
      <c r="C74" s="24">
        <v>37420974.624000005</v>
      </c>
      <c r="D74" s="84"/>
      <c r="E74" s="54">
        <f t="shared" si="6"/>
        <v>-9356384.6983333305</v>
      </c>
      <c r="F74" s="134">
        <f t="shared" si="7"/>
        <v>-0.20001951443775123</v>
      </c>
      <c r="G74" s="84"/>
      <c r="H74" s="84"/>
    </row>
    <row r="75" spans="2:8" x14ac:dyDescent="0.3">
      <c r="B75" s="22">
        <v>2012</v>
      </c>
      <c r="C75" s="24">
        <v>35762480.59799996</v>
      </c>
      <c r="D75" s="84"/>
      <c r="E75" s="54">
        <f t="shared" si="6"/>
        <v>-11014878.724333376</v>
      </c>
      <c r="F75" s="134">
        <f t="shared" si="7"/>
        <v>-0.23547457325310031</v>
      </c>
      <c r="G75" s="85"/>
      <c r="H75" s="85"/>
    </row>
    <row r="76" spans="2:8" x14ac:dyDescent="0.3">
      <c r="B76" s="22">
        <v>2013</v>
      </c>
      <c r="C76" s="24">
        <v>33943663.900999971</v>
      </c>
      <c r="D76" s="84"/>
      <c r="E76" s="54">
        <f t="shared" si="6"/>
        <v>-12833695.421333365</v>
      </c>
      <c r="F76" s="134">
        <f t="shared" si="7"/>
        <v>-0.27435698823653043</v>
      </c>
      <c r="G76" s="25">
        <f>SUM('Annual Benefits'!Z$11:'Annual Benefits'!Z11)</f>
        <v>79362</v>
      </c>
      <c r="H76" s="86">
        <f>-1*G76/E76</f>
        <v>6.1838774721174293E-3</v>
      </c>
    </row>
    <row r="77" spans="2:8" x14ac:dyDescent="0.3">
      <c r="B77" s="22">
        <v>2014</v>
      </c>
      <c r="C77" s="24">
        <v>34666066.641000018</v>
      </c>
      <c r="D77" s="84"/>
      <c r="E77" s="54">
        <f t="shared" si="6"/>
        <v>-12111292.681333318</v>
      </c>
      <c r="F77" s="134">
        <f t="shared" si="7"/>
        <v>-0.25891356110713404</v>
      </c>
      <c r="G77" s="25">
        <f>SUM('Annual Benefits'!Z$11:'Annual Benefits'!Z12)</f>
        <v>335358</v>
      </c>
      <c r="H77" s="86">
        <f t="shared" ref="H77:H84" si="8">-1*G77/E77</f>
        <v>2.7689694966820076E-2</v>
      </c>
    </row>
    <row r="78" spans="2:8" x14ac:dyDescent="0.3">
      <c r="B78" s="22">
        <v>2015</v>
      </c>
      <c r="C78" s="24">
        <v>33226651.687000006</v>
      </c>
      <c r="D78" s="84"/>
      <c r="E78" s="54">
        <f t="shared" si="6"/>
        <v>-13550707.635333329</v>
      </c>
      <c r="F78" s="134">
        <f t="shared" si="7"/>
        <v>-0.28968517743719008</v>
      </c>
      <c r="G78" s="25">
        <f>SUM('Annual Benefits'!Z$11:'Annual Benefits'!Z13)</f>
        <v>779276</v>
      </c>
      <c r="H78" s="86">
        <f t="shared" si="8"/>
        <v>5.750814060573825E-2</v>
      </c>
    </row>
    <row r="79" spans="2:8" x14ac:dyDescent="0.3">
      <c r="B79" s="22">
        <v>2016</v>
      </c>
      <c r="C79" s="24">
        <v>31384868.120999992</v>
      </c>
      <c r="D79" s="84"/>
      <c r="E79" s="54">
        <f t="shared" si="6"/>
        <v>-15392491.201333344</v>
      </c>
      <c r="F79" s="134">
        <f t="shared" si="7"/>
        <v>-0.32905857500990587</v>
      </c>
      <c r="G79" s="25">
        <f>SUM('Annual Benefits'!Z$11:'Annual Benefits'!Z14)</f>
        <v>1467072</v>
      </c>
      <c r="H79" s="86">
        <f t="shared" si="8"/>
        <v>9.5310887679631598E-2</v>
      </c>
    </row>
    <row r="80" spans="2:8" x14ac:dyDescent="0.3">
      <c r="B80" s="22">
        <v>2017</v>
      </c>
      <c r="C80" s="24">
        <v>25268988.217000004</v>
      </c>
      <c r="D80" s="84"/>
      <c r="E80" s="54">
        <f t="shared" si="6"/>
        <v>-21508371.105333332</v>
      </c>
      <c r="F80" s="134">
        <f t="shared" si="7"/>
        <v>-0.45980302045533378</v>
      </c>
      <c r="G80" s="25">
        <f>SUM('Annual Benefits'!Z$11:'Annual Benefits'!Z15)</f>
        <v>2470086</v>
      </c>
      <c r="H80" s="86">
        <f t="shared" si="8"/>
        <v>0.11484300637659652</v>
      </c>
    </row>
    <row r="81" spans="2:8" x14ac:dyDescent="0.3">
      <c r="B81" s="22">
        <v>2018</v>
      </c>
      <c r="C81" s="24">
        <v>27973346.119999997</v>
      </c>
      <c r="D81" s="84"/>
      <c r="E81" s="54">
        <f t="shared" si="6"/>
        <v>-18804013.202333339</v>
      </c>
      <c r="F81" s="134">
        <f t="shared" si="7"/>
        <v>-0.40198962649342135</v>
      </c>
      <c r="G81" s="25">
        <f>SUM('Annual Benefits'!Z$11:'Annual Benefits'!Z16)</f>
        <v>3843839</v>
      </c>
      <c r="H81" s="86">
        <f t="shared" si="8"/>
        <v>0.20441588498369212</v>
      </c>
    </row>
    <row r="82" spans="2:8" x14ac:dyDescent="0.3">
      <c r="B82" s="22">
        <v>2019</v>
      </c>
      <c r="C82" s="24">
        <v>24868687.187999994</v>
      </c>
      <c r="D82" s="84"/>
      <c r="E82" s="54">
        <f t="shared" si="6"/>
        <v>-21908672.134333342</v>
      </c>
      <c r="F82" s="134">
        <f t="shared" si="7"/>
        <v>-0.46836060119095452</v>
      </c>
      <c r="G82" s="25">
        <f>SUM('Annual Benefits'!Z$11:'Annual Benefits'!Z17)</f>
        <v>4898616</v>
      </c>
      <c r="H82" s="86">
        <f t="shared" si="8"/>
        <v>0.2235925559506329</v>
      </c>
    </row>
    <row r="83" spans="2:8" x14ac:dyDescent="0.3">
      <c r="B83" s="22">
        <v>2020</v>
      </c>
      <c r="C83" s="24">
        <v>26868363.636999995</v>
      </c>
      <c r="D83" s="84"/>
      <c r="E83" s="54">
        <f t="shared" si="6"/>
        <v>-19908995.685333341</v>
      </c>
      <c r="F83" s="134">
        <f t="shared" si="7"/>
        <v>-0.42561179112622566</v>
      </c>
      <c r="G83" s="25">
        <f>SUM('Annual Benefits'!Z$11:'Annual Benefits'!Z18)</f>
        <v>6691514</v>
      </c>
      <c r="H83" s="86">
        <f t="shared" si="8"/>
        <v>0.33610505048878675</v>
      </c>
    </row>
    <row r="84" spans="2:8" ht="15" thickBot="1" x14ac:dyDescent="0.35">
      <c r="B84" s="32">
        <v>2021</v>
      </c>
      <c r="C84" s="34">
        <v>28546529.206999999</v>
      </c>
      <c r="D84" s="85"/>
      <c r="E84" s="54">
        <f t="shared" si="6"/>
        <v>-18230830.115333337</v>
      </c>
      <c r="F84" s="134">
        <f t="shared" si="7"/>
        <v>-0.38973619672945559</v>
      </c>
      <c r="G84" s="25">
        <f>SUM('Annual Benefits'!Z$11:'Annual Benefits'!Z19)</f>
        <v>8614077</v>
      </c>
      <c r="H84" s="86">
        <f t="shared" si="8"/>
        <v>0.4725005359330835</v>
      </c>
    </row>
  </sheetData>
  <mergeCells count="3">
    <mergeCell ref="C4:H4"/>
    <mergeCell ref="C32:H32"/>
    <mergeCell ref="C60:H60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FE9B-01CA-433A-8515-0B3AEA7A9AFB}">
  <dimension ref="A1:AA22"/>
  <sheetViews>
    <sheetView workbookViewId="0"/>
  </sheetViews>
  <sheetFormatPr defaultRowHeight="14.4" x14ac:dyDescent="0.3"/>
  <cols>
    <col min="1" max="1" width="11" bestFit="1" customWidth="1"/>
    <col min="2" max="2" width="12.44140625" bestFit="1" customWidth="1"/>
    <col min="4" max="4" width="7.6640625" bestFit="1" customWidth="1"/>
    <col min="6" max="6" width="10.5546875" bestFit="1" customWidth="1"/>
    <col min="7" max="7" width="4.33203125" customWidth="1"/>
    <col min="8" max="8" width="11" bestFit="1" customWidth="1"/>
    <col min="9" max="9" width="12" bestFit="1" customWidth="1"/>
    <col min="10" max="10" width="9.21875" bestFit="1" customWidth="1"/>
    <col min="11" max="11" width="9.77734375" bestFit="1" customWidth="1"/>
    <col min="12" max="12" width="5.21875" bestFit="1" customWidth="1"/>
    <col min="13" max="16" width="11" customWidth="1"/>
    <col min="17" max="17" width="6.88671875" bestFit="1" customWidth="1"/>
    <col min="18" max="18" width="14.109375" bestFit="1" customWidth="1"/>
    <col min="19" max="19" width="2" customWidth="1"/>
    <col min="20" max="23" width="11.33203125" customWidth="1"/>
    <col min="24" max="26" width="18.77734375" customWidth="1"/>
    <col min="27" max="27" width="0" hidden="1" customWidth="1"/>
  </cols>
  <sheetData>
    <row r="1" spans="1:27" x14ac:dyDescent="0.3">
      <c r="A1" s="9" t="s">
        <v>71</v>
      </c>
      <c r="I1" t="s">
        <v>71</v>
      </c>
    </row>
    <row r="2" spans="1:27" x14ac:dyDescent="0.3">
      <c r="I2" t="s">
        <v>69</v>
      </c>
      <c r="M2" s="71" t="s">
        <v>70</v>
      </c>
    </row>
    <row r="3" spans="1:27" x14ac:dyDescent="0.3">
      <c r="A3" s="5"/>
      <c r="B3" s="5"/>
      <c r="C3" s="155" t="s">
        <v>14</v>
      </c>
      <c r="D3" s="156"/>
      <c r="E3" s="156"/>
      <c r="F3" s="157"/>
      <c r="P3" s="3"/>
    </row>
    <row r="4" spans="1:27" x14ac:dyDescent="0.3">
      <c r="A4" s="6" t="s">
        <v>0</v>
      </c>
      <c r="B4" s="6" t="s">
        <v>1</v>
      </c>
      <c r="C4" s="7" t="s">
        <v>12</v>
      </c>
      <c r="D4" s="7" t="s">
        <v>13</v>
      </c>
      <c r="E4" s="7" t="s">
        <v>10</v>
      </c>
      <c r="F4" s="7" t="s">
        <v>51</v>
      </c>
    </row>
    <row r="5" spans="1:27" x14ac:dyDescent="0.3">
      <c r="A5" s="56" t="s">
        <v>18</v>
      </c>
      <c r="B5" s="72">
        <v>41639</v>
      </c>
      <c r="C5" s="25">
        <v>100934</v>
      </c>
      <c r="D5" s="25">
        <v>45904</v>
      </c>
      <c r="E5" s="25">
        <v>146838</v>
      </c>
      <c r="F5" s="25">
        <f>E5</f>
        <v>146838</v>
      </c>
      <c r="H5" s="5"/>
      <c r="I5" s="5"/>
      <c r="J5" s="154" t="s">
        <v>11</v>
      </c>
      <c r="K5" s="154"/>
      <c r="L5" s="154"/>
      <c r="M5" s="154" t="s">
        <v>14</v>
      </c>
      <c r="N5" s="154"/>
      <c r="O5" s="154"/>
      <c r="P5" s="5"/>
      <c r="Q5" s="154" t="s">
        <v>16</v>
      </c>
      <c r="R5" s="154"/>
      <c r="T5" s="154" t="s">
        <v>49</v>
      </c>
      <c r="U5" s="154"/>
      <c r="V5" s="154"/>
      <c r="W5" s="5" t="s">
        <v>51</v>
      </c>
      <c r="X5" s="154" t="s">
        <v>50</v>
      </c>
      <c r="Y5" s="154"/>
      <c r="Z5" s="154"/>
    </row>
    <row r="6" spans="1:27" x14ac:dyDescent="0.3">
      <c r="A6" s="56" t="s">
        <v>18</v>
      </c>
      <c r="B6" s="72">
        <v>42004</v>
      </c>
      <c r="C6" s="25">
        <v>178048</v>
      </c>
      <c r="D6" s="25">
        <v>83118</v>
      </c>
      <c r="E6" s="25">
        <v>261165</v>
      </c>
      <c r="F6" s="25">
        <f>SUM(E$1:E19)</f>
        <v>7460423</v>
      </c>
      <c r="H6" s="6" t="s">
        <v>0</v>
      </c>
      <c r="I6" s="6" t="s">
        <v>1</v>
      </c>
      <c r="J6" s="7" t="s">
        <v>8</v>
      </c>
      <c r="K6" s="7" t="s">
        <v>9</v>
      </c>
      <c r="L6" s="7" t="s">
        <v>10</v>
      </c>
      <c r="M6" s="7" t="s">
        <v>12</v>
      </c>
      <c r="N6" s="7" t="s">
        <v>13</v>
      </c>
      <c r="O6" s="7" t="s">
        <v>10</v>
      </c>
      <c r="P6" s="7"/>
      <c r="Q6" s="7" t="s">
        <v>15</v>
      </c>
      <c r="R6" s="7" t="s">
        <v>17</v>
      </c>
      <c r="T6" s="7" t="s">
        <v>12</v>
      </c>
      <c r="U6" s="7" t="s">
        <v>13</v>
      </c>
      <c r="V6" s="7" t="s">
        <v>10</v>
      </c>
      <c r="W6" s="7" t="s">
        <v>10</v>
      </c>
      <c r="X6" s="7" t="s">
        <v>12</v>
      </c>
      <c r="Y6" s="7" t="s">
        <v>13</v>
      </c>
      <c r="Z6" s="7" t="s">
        <v>10</v>
      </c>
    </row>
    <row r="7" spans="1:27" x14ac:dyDescent="0.3">
      <c r="A7" s="56" t="s">
        <v>18</v>
      </c>
      <c r="B7" s="72">
        <v>42369</v>
      </c>
      <c r="C7" s="25">
        <v>277276</v>
      </c>
      <c r="D7" s="25">
        <v>74526</v>
      </c>
      <c r="E7" s="25">
        <v>351802</v>
      </c>
      <c r="F7" s="25">
        <f>SUM(E$1:E19)</f>
        <v>7460423</v>
      </c>
      <c r="H7" s="136" t="s">
        <v>18</v>
      </c>
      <c r="I7" s="137">
        <v>40178</v>
      </c>
      <c r="J7" s="136">
        <v>3.8</v>
      </c>
      <c r="K7" s="136">
        <v>5.7</v>
      </c>
      <c r="L7" s="136">
        <f t="shared" ref="L7:L19" si="0">J7+K7</f>
        <v>9.5</v>
      </c>
      <c r="M7" s="138"/>
      <c r="N7" s="138"/>
      <c r="O7" s="138"/>
      <c r="P7" s="138"/>
      <c r="Q7" s="136"/>
      <c r="R7" s="139" t="e">
        <f t="shared" ref="R7:R19" si="1">L7*1000000/O7</f>
        <v>#DIV/0!</v>
      </c>
      <c r="S7" s="136"/>
      <c r="T7" s="136"/>
      <c r="U7" s="136"/>
      <c r="V7" s="136"/>
      <c r="W7" s="136"/>
      <c r="X7" s="136"/>
      <c r="Y7" s="136"/>
      <c r="Z7" s="136"/>
    </row>
    <row r="8" spans="1:27" x14ac:dyDescent="0.3">
      <c r="A8" s="56" t="s">
        <v>18</v>
      </c>
      <c r="B8" s="72">
        <v>42735</v>
      </c>
      <c r="C8" s="25">
        <v>610750</v>
      </c>
      <c r="D8" s="25">
        <v>65517</v>
      </c>
      <c r="E8" s="25">
        <v>676266</v>
      </c>
      <c r="F8" s="25">
        <f>SUM(E$1:E19)</f>
        <v>7460423</v>
      </c>
      <c r="H8" s="136" t="s">
        <v>18</v>
      </c>
      <c r="I8" s="137">
        <v>40543</v>
      </c>
      <c r="J8" s="136">
        <v>121.1</v>
      </c>
      <c r="K8" s="136">
        <v>242.4</v>
      </c>
      <c r="L8" s="136">
        <f t="shared" si="0"/>
        <v>363.5</v>
      </c>
      <c r="M8" s="138">
        <v>9310</v>
      </c>
      <c r="N8" s="138"/>
      <c r="O8" s="138">
        <v>9310</v>
      </c>
      <c r="P8" s="138"/>
      <c r="Q8" s="136"/>
      <c r="R8" s="139">
        <f t="shared" si="1"/>
        <v>39044.038668098816</v>
      </c>
      <c r="S8" s="136"/>
      <c r="T8" s="136"/>
      <c r="U8" s="136"/>
      <c r="V8" s="136"/>
      <c r="W8" s="136"/>
      <c r="X8" s="136"/>
      <c r="Y8" s="136"/>
      <c r="Z8" s="136"/>
    </row>
    <row r="9" spans="1:27" x14ac:dyDescent="0.3">
      <c r="A9" s="56" t="s">
        <v>18</v>
      </c>
      <c r="B9" s="72">
        <v>43100</v>
      </c>
      <c r="C9" s="25">
        <v>838995</v>
      </c>
      <c r="D9" s="25">
        <v>51373</v>
      </c>
      <c r="E9" s="25">
        <v>890368</v>
      </c>
      <c r="F9" s="25">
        <f>SUM(E$1:E19)</f>
        <v>7460423</v>
      </c>
      <c r="H9" s="136" t="s">
        <v>18</v>
      </c>
      <c r="I9" s="137">
        <v>40908</v>
      </c>
      <c r="J9" s="136"/>
      <c r="K9" s="136"/>
      <c r="L9" s="136">
        <f t="shared" si="0"/>
        <v>0</v>
      </c>
      <c r="M9" s="138"/>
      <c r="N9" s="138"/>
      <c r="O9" s="138"/>
      <c r="P9" s="138"/>
      <c r="Q9" s="136"/>
      <c r="R9" s="139" t="e">
        <f t="shared" si="1"/>
        <v>#DIV/0!</v>
      </c>
      <c r="S9" s="136"/>
      <c r="T9" s="136"/>
      <c r="U9" s="136"/>
      <c r="V9" s="136"/>
      <c r="W9" s="136"/>
      <c r="X9" s="136"/>
      <c r="Y9" s="136"/>
      <c r="Z9" s="136"/>
    </row>
    <row r="10" spans="1:27" x14ac:dyDescent="0.3">
      <c r="A10" s="56" t="s">
        <v>2</v>
      </c>
      <c r="B10" s="72">
        <v>43465</v>
      </c>
      <c r="C10" s="25">
        <v>1053081</v>
      </c>
      <c r="D10" s="25">
        <v>63506</v>
      </c>
      <c r="E10" s="25">
        <v>1116587</v>
      </c>
      <c r="F10" s="25">
        <f>SUM(E$1:E19)</f>
        <v>7460423</v>
      </c>
      <c r="H10" s="136" t="s">
        <v>18</v>
      </c>
      <c r="I10" s="137">
        <v>41274</v>
      </c>
      <c r="J10" s="136">
        <v>208.3</v>
      </c>
      <c r="K10" s="136">
        <v>254.6</v>
      </c>
      <c r="L10" s="136">
        <f t="shared" si="0"/>
        <v>462.9</v>
      </c>
      <c r="M10" s="138">
        <v>56764</v>
      </c>
      <c r="N10" s="138"/>
      <c r="O10" s="138">
        <f>M10+N10</f>
        <v>56764</v>
      </c>
      <c r="P10" s="138"/>
      <c r="Q10" s="136"/>
      <c r="R10" s="139">
        <f t="shared" si="1"/>
        <v>8154.8164329504616</v>
      </c>
      <c r="S10" s="136"/>
      <c r="T10" s="136"/>
      <c r="U10" s="136"/>
      <c r="V10" s="136"/>
      <c r="W10" s="136"/>
      <c r="X10" s="136"/>
      <c r="Y10" s="136"/>
      <c r="Z10" s="136"/>
    </row>
    <row r="11" spans="1:27" x14ac:dyDescent="0.3">
      <c r="A11" s="56" t="s">
        <v>2</v>
      </c>
      <c r="B11" s="72">
        <v>43830</v>
      </c>
      <c r="C11" s="25">
        <v>910707</v>
      </c>
      <c r="D11" s="25">
        <v>66715</v>
      </c>
      <c r="E11" s="25">
        <v>977422</v>
      </c>
      <c r="F11" s="25">
        <f>SUM(E$1:E19)</f>
        <v>7460423</v>
      </c>
      <c r="H11" t="s">
        <v>18</v>
      </c>
      <c r="I11" s="1">
        <v>41639</v>
      </c>
      <c r="J11">
        <v>129</v>
      </c>
      <c r="K11">
        <v>9.9</v>
      </c>
      <c r="L11">
        <f t="shared" si="0"/>
        <v>138.9</v>
      </c>
      <c r="M11" s="3">
        <v>100934</v>
      </c>
      <c r="N11" s="3">
        <v>45904</v>
      </c>
      <c r="O11" s="3">
        <v>146838</v>
      </c>
      <c r="P11" s="3">
        <f>O11</f>
        <v>146838</v>
      </c>
      <c r="Q11" s="3">
        <v>946</v>
      </c>
      <c r="R11" s="4">
        <f t="shared" si="1"/>
        <v>945.94042414088995</v>
      </c>
      <c r="T11" s="50">
        <v>985379</v>
      </c>
      <c r="U11" s="50">
        <v>388264</v>
      </c>
      <c r="V11" s="50">
        <v>1373643</v>
      </c>
      <c r="W11" s="50">
        <f>V11</f>
        <v>1373643</v>
      </c>
      <c r="X11" s="50">
        <v>43298</v>
      </c>
      <c r="Y11" s="50">
        <v>36065</v>
      </c>
      <c r="Z11" s="50">
        <v>79362</v>
      </c>
      <c r="AA11" s="3">
        <f>Z11</f>
        <v>79362</v>
      </c>
    </row>
    <row r="12" spans="1:27" x14ac:dyDescent="0.3">
      <c r="A12" s="56" t="s">
        <v>2</v>
      </c>
      <c r="B12" s="72">
        <v>44561</v>
      </c>
      <c r="C12" s="25">
        <v>1359213</v>
      </c>
      <c r="D12" s="25">
        <v>87724</v>
      </c>
      <c r="E12" s="25">
        <v>1446937</v>
      </c>
      <c r="F12" s="25">
        <f>SUM(E$1:E19)</f>
        <v>7460423</v>
      </c>
      <c r="H12" t="s">
        <v>18</v>
      </c>
      <c r="I12" s="1">
        <v>42004</v>
      </c>
      <c r="J12">
        <v>200.9</v>
      </c>
      <c r="K12">
        <v>13.5</v>
      </c>
      <c r="L12">
        <f t="shared" si="0"/>
        <v>214.4</v>
      </c>
      <c r="M12" s="3">
        <v>178048</v>
      </c>
      <c r="N12" s="3">
        <v>83118</v>
      </c>
      <c r="O12" s="3">
        <v>261165</v>
      </c>
      <c r="P12" s="3">
        <f>SUM(O$11:O12)</f>
        <v>408003</v>
      </c>
      <c r="Q12" s="3">
        <v>821</v>
      </c>
      <c r="R12" s="4">
        <f t="shared" si="1"/>
        <v>820.93695556448984</v>
      </c>
      <c r="T12" s="50">
        <v>1503898</v>
      </c>
      <c r="U12" s="50">
        <v>684598</v>
      </c>
      <c r="V12" s="50">
        <v>2188496</v>
      </c>
      <c r="W12" s="50">
        <f>SUM(V$11:V12)</f>
        <v>3562139</v>
      </c>
      <c r="X12" s="50">
        <v>159495</v>
      </c>
      <c r="Y12" s="50">
        <v>96501</v>
      </c>
      <c r="Z12" s="50">
        <v>255996</v>
      </c>
      <c r="AA12" s="3">
        <f>SUM(Z$11:Z12)</f>
        <v>335358</v>
      </c>
    </row>
    <row r="13" spans="1:27" x14ac:dyDescent="0.3">
      <c r="A13" s="56" t="s">
        <v>2</v>
      </c>
      <c r="B13" s="72">
        <v>44742</v>
      </c>
      <c r="C13" s="25">
        <v>1477039</v>
      </c>
      <c r="D13" s="25">
        <v>115999</v>
      </c>
      <c r="E13" s="25">
        <v>1593038</v>
      </c>
      <c r="F13" s="25">
        <f>SUM(E$1:E19)</f>
        <v>7460423</v>
      </c>
      <c r="H13" t="s">
        <v>18</v>
      </c>
      <c r="I13" s="1">
        <v>42369</v>
      </c>
      <c r="J13">
        <v>289.3</v>
      </c>
      <c r="K13">
        <v>18.399999999999999</v>
      </c>
      <c r="L13">
        <f t="shared" si="0"/>
        <v>307.7</v>
      </c>
      <c r="M13" s="3">
        <v>277276</v>
      </c>
      <c r="N13" s="3">
        <v>74526</v>
      </c>
      <c r="O13" s="3">
        <v>351802</v>
      </c>
      <c r="P13" s="3">
        <f>SUM(O$11:O13)</f>
        <v>759805</v>
      </c>
      <c r="Q13" s="3">
        <v>875</v>
      </c>
      <c r="R13" s="4">
        <f t="shared" si="1"/>
        <v>874.63971211078956</v>
      </c>
      <c r="T13" s="50">
        <v>2025159</v>
      </c>
      <c r="U13" s="50">
        <v>606510</v>
      </c>
      <c r="V13" s="50">
        <v>2631669</v>
      </c>
      <c r="W13" s="50">
        <f>SUM(V$11:V13)</f>
        <v>6193808</v>
      </c>
      <c r="X13" s="50">
        <v>356804</v>
      </c>
      <c r="Y13" s="50">
        <v>87114</v>
      </c>
      <c r="Z13" s="50">
        <v>443918</v>
      </c>
      <c r="AA13" s="3">
        <f>SUM(Z$11:Z13)</f>
        <v>779276</v>
      </c>
    </row>
    <row r="14" spans="1:27" x14ac:dyDescent="0.3">
      <c r="H14" t="s">
        <v>18</v>
      </c>
      <c r="I14" s="1">
        <v>42735</v>
      </c>
      <c r="J14">
        <v>403.2</v>
      </c>
      <c r="K14">
        <v>32.799999999999997</v>
      </c>
      <c r="L14">
        <f t="shared" si="0"/>
        <v>436</v>
      </c>
      <c r="M14" s="3">
        <v>610750</v>
      </c>
      <c r="N14" s="3">
        <v>65517</v>
      </c>
      <c r="O14" s="3">
        <v>676266</v>
      </c>
      <c r="P14" s="3">
        <f>SUM(O$11:O14)</f>
        <v>1436071</v>
      </c>
      <c r="Q14" s="3">
        <v>645</v>
      </c>
      <c r="R14" s="4">
        <f t="shared" si="1"/>
        <v>644.71672389266951</v>
      </c>
      <c r="T14" s="50">
        <v>2378290</v>
      </c>
      <c r="U14" s="50">
        <v>350524</v>
      </c>
      <c r="V14" s="50">
        <v>2728814</v>
      </c>
      <c r="W14" s="50">
        <f>SUM(V$11:V14)</f>
        <v>8922622</v>
      </c>
      <c r="X14" s="50">
        <v>617467</v>
      </c>
      <c r="Y14" s="50">
        <v>70328</v>
      </c>
      <c r="Z14" s="50">
        <v>687796</v>
      </c>
      <c r="AA14" s="3">
        <f>SUM(Z$11:Z14)</f>
        <v>1467072</v>
      </c>
    </row>
    <row r="15" spans="1:27" x14ac:dyDescent="0.3">
      <c r="H15" t="s">
        <v>18</v>
      </c>
      <c r="I15" s="1">
        <v>43100</v>
      </c>
      <c r="J15">
        <v>467.5</v>
      </c>
      <c r="K15">
        <v>39.9</v>
      </c>
      <c r="L15">
        <f t="shared" si="0"/>
        <v>507.4</v>
      </c>
      <c r="M15" s="3">
        <v>838995</v>
      </c>
      <c r="N15" s="3">
        <v>51373</v>
      </c>
      <c r="O15" s="3">
        <v>890368</v>
      </c>
      <c r="P15" s="3">
        <f>SUM(O$11:O15)</f>
        <v>2326439</v>
      </c>
      <c r="Q15" s="3">
        <v>570</v>
      </c>
      <c r="R15" s="4">
        <f t="shared" si="1"/>
        <v>569.87672512938468</v>
      </c>
      <c r="T15" s="50">
        <v>2928970</v>
      </c>
      <c r="U15" s="50">
        <v>314706</v>
      </c>
      <c r="V15" s="50">
        <v>3243676</v>
      </c>
      <c r="W15" s="50">
        <f>SUM(V$11:V15)</f>
        <v>12166298</v>
      </c>
      <c r="X15" s="50">
        <v>951913</v>
      </c>
      <c r="Y15" s="50">
        <v>51101</v>
      </c>
      <c r="Z15" s="50">
        <v>1003014</v>
      </c>
      <c r="AA15" s="3">
        <f>SUM(Z$11:Z15)</f>
        <v>2470086</v>
      </c>
    </row>
    <row r="16" spans="1:27" x14ac:dyDescent="0.3">
      <c r="H16" t="s">
        <v>2</v>
      </c>
      <c r="I16" s="1">
        <v>43465</v>
      </c>
      <c r="J16">
        <v>513</v>
      </c>
      <c r="K16">
        <v>45.9</v>
      </c>
      <c r="L16">
        <f t="shared" si="0"/>
        <v>558.9</v>
      </c>
      <c r="M16" s="3">
        <v>1053081</v>
      </c>
      <c r="N16" s="3">
        <v>63506</v>
      </c>
      <c r="O16" s="3">
        <v>1116587</v>
      </c>
      <c r="P16" s="3">
        <f>SUM(O$11:O16)</f>
        <v>3443026</v>
      </c>
      <c r="Q16" s="3">
        <v>501</v>
      </c>
      <c r="R16" s="4">
        <f t="shared" si="1"/>
        <v>500.54317308010928</v>
      </c>
      <c r="T16" s="50">
        <v>3065149</v>
      </c>
      <c r="U16" s="50">
        <v>231718</v>
      </c>
      <c r="V16" s="50">
        <v>3296867</v>
      </c>
      <c r="W16" s="50">
        <f>SUM(V$11:V16)</f>
        <v>15463165</v>
      </c>
      <c r="X16" s="50">
        <v>1288717</v>
      </c>
      <c r="Y16" s="50">
        <v>85037</v>
      </c>
      <c r="Z16" s="50">
        <v>1373753</v>
      </c>
      <c r="AA16" s="3">
        <f>SUM(Z$11:Z16)</f>
        <v>3843839</v>
      </c>
    </row>
    <row r="17" spans="8:27" x14ac:dyDescent="0.3">
      <c r="H17" t="s">
        <v>2</v>
      </c>
      <c r="I17" s="1">
        <v>43830</v>
      </c>
      <c r="J17">
        <v>523.6</v>
      </c>
      <c r="K17">
        <v>54.8</v>
      </c>
      <c r="L17">
        <f t="shared" si="0"/>
        <v>578.4</v>
      </c>
      <c r="M17" s="3">
        <v>910707</v>
      </c>
      <c r="N17" s="3">
        <v>66715</v>
      </c>
      <c r="O17" s="3">
        <v>977422</v>
      </c>
      <c r="P17" s="3">
        <f>SUM(O$11:O17)</f>
        <v>4420448</v>
      </c>
      <c r="Q17" s="3">
        <v>592</v>
      </c>
      <c r="R17" s="4">
        <f t="shared" si="1"/>
        <v>591.7607747728207</v>
      </c>
      <c r="T17" s="50">
        <v>3031487</v>
      </c>
      <c r="U17" s="50">
        <v>235782</v>
      </c>
      <c r="V17" s="50">
        <v>3267269</v>
      </c>
      <c r="W17" s="50">
        <f>SUM(V$11:V17)</f>
        <v>18730434</v>
      </c>
      <c r="X17" s="50">
        <v>977342</v>
      </c>
      <c r="Y17" s="50">
        <v>77436</v>
      </c>
      <c r="Z17" s="50">
        <v>1054777</v>
      </c>
      <c r="AA17" s="3">
        <f>SUM(Z$11:Z17)</f>
        <v>4898616</v>
      </c>
    </row>
    <row r="18" spans="8:27" x14ac:dyDescent="0.3">
      <c r="H18" t="s">
        <v>2</v>
      </c>
      <c r="I18" s="1">
        <v>44561</v>
      </c>
      <c r="J18">
        <v>676.3</v>
      </c>
      <c r="K18">
        <v>74.7</v>
      </c>
      <c r="L18">
        <f t="shared" si="0"/>
        <v>751</v>
      </c>
      <c r="M18" s="3">
        <v>1359213</v>
      </c>
      <c r="N18" s="3">
        <v>87724</v>
      </c>
      <c r="O18" s="3">
        <v>1446937</v>
      </c>
      <c r="P18" s="3">
        <f>SUM(O$11:O18)</f>
        <v>5867385</v>
      </c>
      <c r="Q18" s="3">
        <v>519</v>
      </c>
      <c r="R18" s="4">
        <f t="shared" si="1"/>
        <v>519.02743519586545</v>
      </c>
      <c r="T18" s="50">
        <v>6424418</v>
      </c>
      <c r="U18" s="50">
        <v>290521</v>
      </c>
      <c r="V18" s="50">
        <v>6714938</v>
      </c>
      <c r="W18" s="50">
        <f>SUM(V$11:V18)</f>
        <v>25445372</v>
      </c>
      <c r="X18" s="50">
        <v>1648982</v>
      </c>
      <c r="Y18" s="50">
        <v>143916</v>
      </c>
      <c r="Z18" s="50">
        <v>1792898</v>
      </c>
      <c r="AA18" s="3">
        <f>SUM(Z$11:Z18)</f>
        <v>6691514</v>
      </c>
    </row>
    <row r="19" spans="8:27" x14ac:dyDescent="0.3">
      <c r="H19" t="s">
        <v>2</v>
      </c>
      <c r="I19" s="1">
        <v>44742</v>
      </c>
      <c r="J19">
        <v>705.1</v>
      </c>
      <c r="K19">
        <v>71.900000000000006</v>
      </c>
      <c r="L19">
        <f t="shared" si="0"/>
        <v>777</v>
      </c>
      <c r="M19" s="3">
        <v>1477039</v>
      </c>
      <c r="N19" s="3">
        <v>115999</v>
      </c>
      <c r="O19" s="3">
        <v>1593038</v>
      </c>
      <c r="P19" s="3">
        <f>SUM(O$11:O19)</f>
        <v>7460423</v>
      </c>
      <c r="Q19">
        <v>488</v>
      </c>
      <c r="R19" s="4">
        <f t="shared" si="1"/>
        <v>487.74731048474678</v>
      </c>
      <c r="T19" s="50">
        <v>7530834</v>
      </c>
      <c r="U19" s="50">
        <v>332139</v>
      </c>
      <c r="V19" s="50">
        <v>7862973</v>
      </c>
      <c r="W19" s="50">
        <f>SUM(V$11:V19)</f>
        <v>33308345</v>
      </c>
      <c r="X19" s="50">
        <v>1728194</v>
      </c>
      <c r="Y19" s="50">
        <v>194369</v>
      </c>
      <c r="Z19" s="50">
        <v>1922563</v>
      </c>
      <c r="AA19" s="3">
        <f>SUM(Z$11:Z19)</f>
        <v>8614077</v>
      </c>
    </row>
    <row r="22" spans="8:27" x14ac:dyDescent="0.3">
      <c r="I22" t="s">
        <v>10</v>
      </c>
      <c r="O22" s="3">
        <f>SUM(O7:O19)</f>
        <v>7526497</v>
      </c>
    </row>
  </sheetData>
  <sortState xmlns:xlrd2="http://schemas.microsoft.com/office/spreadsheetml/2017/richdata2" ref="H7:R19">
    <sortCondition ref="I7:I19"/>
  </sortState>
  <mergeCells count="6">
    <mergeCell ref="X5:Z5"/>
    <mergeCell ref="C3:F3"/>
    <mergeCell ref="Q5:R5"/>
    <mergeCell ref="M5:O5"/>
    <mergeCell ref="J5:L5"/>
    <mergeCell ref="T5:V5"/>
  </mergeCells>
  <hyperlinks>
    <hyperlink ref="M2" r:id="rId1" xr:uid="{4F97CB67-617F-48E6-840A-89B65D0D0F7E}"/>
  </hyperlinks>
  <pageMargins left="0.7" right="0.7" top="0.75" bottom="0.75" header="0.3" footer="0.3"/>
  <pageSetup orientation="portrait" horizontalDpi="4294967293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F5CE-0641-4A8B-80F1-FE9381CBC3F2}">
  <dimension ref="A1:AP57"/>
  <sheetViews>
    <sheetView workbookViewId="0">
      <selection activeCell="O1" sqref="O1"/>
    </sheetView>
  </sheetViews>
  <sheetFormatPr defaultRowHeight="14.4" x14ac:dyDescent="0.3"/>
  <cols>
    <col min="2" max="2" width="10.88671875" customWidth="1"/>
    <col min="4" max="4" width="10.88671875" customWidth="1"/>
    <col min="5" max="5" width="12.33203125" customWidth="1"/>
    <col min="6" max="6" width="4" customWidth="1"/>
    <col min="7" max="7" width="5" bestFit="1" customWidth="1"/>
    <col min="8" max="8" width="9.88671875" bestFit="1" customWidth="1"/>
    <col min="9" max="9" width="19.44140625" customWidth="1"/>
    <col min="10" max="10" width="8.44140625" customWidth="1"/>
    <col min="11" max="11" width="10.6640625" customWidth="1"/>
    <col min="12" max="12" width="11.44140625" customWidth="1"/>
    <col min="13" max="13" width="12.5546875" customWidth="1"/>
    <col min="14" max="14" width="4" customWidth="1"/>
    <col min="15" max="15" width="5" bestFit="1" customWidth="1"/>
    <col min="16" max="16" width="9.88671875" bestFit="1" customWidth="1"/>
    <col min="17" max="17" width="18.33203125" bestFit="1" customWidth="1"/>
    <col min="18" max="18" width="12.109375" customWidth="1"/>
    <col min="19" max="19" width="11.44140625" customWidth="1"/>
    <col min="20" max="20" width="12.109375" customWidth="1"/>
    <col min="21" max="21" width="14.88671875" customWidth="1"/>
    <col min="22" max="22" width="4" customWidth="1"/>
    <col min="24" max="25" width="17.21875" customWidth="1"/>
    <col min="26" max="26" width="13.109375" customWidth="1"/>
    <col min="27" max="27" width="11.88671875" customWidth="1"/>
    <col min="28" max="28" width="10.5546875" bestFit="1" customWidth="1"/>
    <col min="29" max="29" width="13.77734375" customWidth="1"/>
    <col min="30" max="30" width="17.88671875" customWidth="1"/>
    <col min="31" max="31" width="17.21875" bestFit="1" customWidth="1"/>
    <col min="32" max="32" width="10.5546875" bestFit="1" customWidth="1"/>
    <col min="33" max="33" width="16.77734375" customWidth="1"/>
    <col min="34" max="34" width="5" bestFit="1" customWidth="1"/>
    <col min="35" max="36" width="12.21875" customWidth="1"/>
    <col min="37" max="37" width="17.21875" bestFit="1" customWidth="1"/>
    <col min="38" max="38" width="12.21875" customWidth="1"/>
  </cols>
  <sheetData>
    <row r="1" spans="1:42" x14ac:dyDescent="0.3">
      <c r="A1" s="76" t="s">
        <v>78</v>
      </c>
      <c r="B1" s="50"/>
      <c r="C1" s="50"/>
      <c r="D1" s="74"/>
      <c r="E1" s="75"/>
      <c r="G1" s="9" t="s">
        <v>83</v>
      </c>
      <c r="O1" s="9" t="s">
        <v>85</v>
      </c>
    </row>
    <row r="2" spans="1:42" ht="33" customHeight="1" x14ac:dyDescent="0.3">
      <c r="W2" s="163"/>
      <c r="X2" s="162" t="s">
        <v>52</v>
      </c>
      <c r="Y2" s="64"/>
      <c r="Z2" s="162" t="s">
        <v>57</v>
      </c>
      <c r="AA2" s="162"/>
      <c r="AB2" s="162"/>
      <c r="AD2" s="160" t="s">
        <v>53</v>
      </c>
      <c r="AE2" s="165" t="s">
        <v>59</v>
      </c>
    </row>
    <row r="3" spans="1:42" ht="33" customHeight="1" x14ac:dyDescent="0.3">
      <c r="A3" s="159"/>
      <c r="B3" s="56"/>
      <c r="C3" s="158" t="s">
        <v>55</v>
      </c>
      <c r="D3" s="158"/>
      <c r="E3" s="158"/>
      <c r="G3" s="159"/>
      <c r="H3" s="160" t="s">
        <v>80</v>
      </c>
      <c r="I3" s="160" t="s">
        <v>81</v>
      </c>
      <c r="J3" s="158" t="s">
        <v>82</v>
      </c>
      <c r="K3" s="158"/>
      <c r="L3" s="158"/>
      <c r="M3" s="158"/>
      <c r="O3" s="159"/>
      <c r="P3" s="160" t="s">
        <v>80</v>
      </c>
      <c r="Q3" s="162" t="s">
        <v>86</v>
      </c>
      <c r="R3" s="158" t="s">
        <v>82</v>
      </c>
      <c r="S3" s="158"/>
      <c r="T3" s="158"/>
      <c r="U3" s="158"/>
      <c r="W3" s="164"/>
      <c r="X3" s="162"/>
      <c r="Y3" s="64"/>
      <c r="Z3" s="64" t="s">
        <v>58</v>
      </c>
      <c r="AA3" s="64" t="s">
        <v>51</v>
      </c>
      <c r="AB3" s="64" t="s">
        <v>60</v>
      </c>
      <c r="AD3" s="161"/>
      <c r="AE3" s="166"/>
      <c r="AM3" s="63"/>
      <c r="AN3" s="63"/>
      <c r="AO3" s="63"/>
      <c r="AP3" s="63"/>
    </row>
    <row r="4" spans="1:42" ht="57.6" x14ac:dyDescent="0.3">
      <c r="A4" s="159"/>
      <c r="B4" s="64" t="s">
        <v>54</v>
      </c>
      <c r="C4" s="64" t="s">
        <v>58</v>
      </c>
      <c r="D4" s="64" t="s">
        <v>51</v>
      </c>
      <c r="E4" s="64" t="s">
        <v>56</v>
      </c>
      <c r="G4" s="159"/>
      <c r="H4" s="161"/>
      <c r="I4" s="161"/>
      <c r="J4" s="64" t="s">
        <v>84</v>
      </c>
      <c r="K4" s="64" t="s">
        <v>61</v>
      </c>
      <c r="L4" s="64" t="s">
        <v>51</v>
      </c>
      <c r="M4" s="64" t="s">
        <v>56</v>
      </c>
      <c r="O4" s="159"/>
      <c r="P4" s="161"/>
      <c r="Q4" s="162"/>
      <c r="R4" s="64" t="s">
        <v>87</v>
      </c>
      <c r="S4" s="64" t="s">
        <v>88</v>
      </c>
      <c r="T4" s="64" t="s">
        <v>51</v>
      </c>
      <c r="U4" s="64" t="s">
        <v>56</v>
      </c>
      <c r="W4" s="7">
        <v>2013</v>
      </c>
      <c r="X4" s="54">
        <f>'NYSERA GWhr'!O20</f>
        <v>140539.85503499999</v>
      </c>
      <c r="Y4" s="54"/>
      <c r="Z4" s="54">
        <f>'Annual Benefits'!Z11/1000</f>
        <v>79.361999999999995</v>
      </c>
      <c r="AA4" s="65">
        <f>'Annual Benefits'!AA11/1000</f>
        <v>79.361999999999995</v>
      </c>
      <c r="AB4" s="66">
        <f>AA4/X4</f>
        <v>5.6469390821725066E-4</v>
      </c>
      <c r="AD4" s="54">
        <f>SUM('NYSERA GWhr'!C20:E20)</f>
        <v>62793.396478999988</v>
      </c>
      <c r="AE4" s="66">
        <f t="shared" ref="AE4:AE12" si="0">AA4/AD4</f>
        <v>1.2638590114573758E-3</v>
      </c>
    </row>
    <row r="5" spans="1:42" x14ac:dyDescent="0.3">
      <c r="A5" s="7">
        <v>2013</v>
      </c>
      <c r="B5" s="54">
        <f>'CAMD Emissions Data'!B23</f>
        <v>33943663.900999971</v>
      </c>
      <c r="C5" s="54">
        <f>'Annual Benefits'!O11</f>
        <v>146838</v>
      </c>
      <c r="D5" s="54">
        <f>SUM('Annual Benefits'!O$11:'Annual Benefits'!O11)</f>
        <v>146838</v>
      </c>
      <c r="E5" s="66">
        <f t="shared" ref="E5:E13" si="1">D5/B5</f>
        <v>4.3259325342210391E-3</v>
      </c>
      <c r="G5" s="7">
        <v>2013</v>
      </c>
      <c r="H5" s="54">
        <f t="shared" ref="H5:H13" si="2">B5</f>
        <v>33943663.900999971</v>
      </c>
      <c r="I5" s="54">
        <f>'Annual Benefits'!V11</f>
        <v>1373643</v>
      </c>
      <c r="J5" s="70">
        <f>'CAMD Emissions Data'!B23/'CAMD Emissions Data'!R23</f>
        <v>6.4308332988361888E-2</v>
      </c>
      <c r="K5" s="25">
        <f>I5*J5</f>
        <v>88336.691451132385</v>
      </c>
      <c r="L5" s="25">
        <f>SUM(K$5:K5)</f>
        <v>88336.691451132385</v>
      </c>
      <c r="M5" s="66">
        <f>L5/H5</f>
        <v>2.602450098161914E-3</v>
      </c>
      <c r="O5" s="7">
        <v>2013</v>
      </c>
      <c r="P5" s="54">
        <f t="shared" ref="P5:P13" si="3">H5</f>
        <v>33943663.900999971</v>
      </c>
      <c r="Q5" s="54">
        <f>'Annual Benefits'!Z11</f>
        <v>79362</v>
      </c>
      <c r="R5" s="70">
        <f>'CAMD Emissions Data'!B23/'CAMD Emissions Data'!H23</f>
        <v>0.57726857577765767</v>
      </c>
      <c r="S5" s="25">
        <f>Q5*R5</f>
        <v>45813.188710866467</v>
      </c>
      <c r="T5" s="25">
        <f>SUM(AA$44:AA58)</f>
        <v>0</v>
      </c>
      <c r="U5" s="66">
        <f>T5/P5</f>
        <v>0</v>
      </c>
      <c r="W5" s="7">
        <v>2014</v>
      </c>
      <c r="X5" s="54">
        <f>'NYSERA GWhr'!O21</f>
        <v>141186.61104700001</v>
      </c>
      <c r="Y5" s="54"/>
      <c r="Z5" s="54">
        <f>'Annual Benefits'!Z12/1000</f>
        <v>255.99600000000001</v>
      </c>
      <c r="AA5" s="65">
        <f>'Annual Benefits'!AA12/1000</f>
        <v>335.358</v>
      </c>
      <c r="AB5" s="66">
        <f t="shared" ref="AB5:AB12" si="4">AA5/X5</f>
        <v>2.3752818876597421E-3</v>
      </c>
      <c r="AD5" s="54">
        <f>SUM('NYSERA GWhr'!C21:E21)</f>
        <v>64091.722283999989</v>
      </c>
      <c r="AE5" s="66">
        <f t="shared" si="0"/>
        <v>5.2324697800127549E-3</v>
      </c>
    </row>
    <row r="6" spans="1:42" x14ac:dyDescent="0.3">
      <c r="A6" s="7">
        <v>2014</v>
      </c>
      <c r="B6" s="54">
        <f>'CAMD Emissions Data'!B24</f>
        <v>34666066.641000018</v>
      </c>
      <c r="C6" s="54">
        <f>'Annual Benefits'!O12</f>
        <v>261165</v>
      </c>
      <c r="D6" s="54">
        <f>SUM('Annual Benefits'!O$11:'Annual Benefits'!O12)</f>
        <v>408003</v>
      </c>
      <c r="E6" s="66">
        <f t="shared" si="1"/>
        <v>1.1769521019654691E-2</v>
      </c>
      <c r="G6" s="7">
        <v>2014</v>
      </c>
      <c r="H6" s="54">
        <f t="shared" si="2"/>
        <v>34666066.641000018</v>
      </c>
      <c r="I6" s="54">
        <f>'Annual Benefits'!V12</f>
        <v>2188496</v>
      </c>
      <c r="J6" s="70">
        <f>'CAMD Emissions Data'!B24/'CAMD Emissions Data'!R24</f>
        <v>6.4478734385459868E-2</v>
      </c>
      <c r="K6" s="25">
        <f t="shared" ref="K6:K13" si="5">I6*J6</f>
        <v>141111.45228764138</v>
      </c>
      <c r="L6" s="25">
        <f>SUM(K$5:K6)</f>
        <v>229448.14373877377</v>
      </c>
      <c r="M6" s="66">
        <f t="shared" ref="M6:M13" si="6">L6/H6</f>
        <v>6.6188110152480464E-3</v>
      </c>
      <c r="O6" s="7">
        <v>2014</v>
      </c>
      <c r="P6" s="54">
        <f t="shared" si="3"/>
        <v>34666066.641000018</v>
      </c>
      <c r="Q6" s="54">
        <f>'Annual Benefits'!Z12</f>
        <v>255996</v>
      </c>
      <c r="R6" s="70">
        <f>'CAMD Emissions Data'!B24/'CAMD Emissions Data'!H24</f>
        <v>0.57757546955438355</v>
      </c>
      <c r="S6" s="25">
        <f t="shared" ref="S6:S13" si="7">Q6*R6</f>
        <v>147857.00990404398</v>
      </c>
      <c r="T6" s="25">
        <f>SUM(AA$44:AA59)</f>
        <v>0</v>
      </c>
      <c r="U6" s="66">
        <f t="shared" ref="U6:U13" si="8">T6/P6</f>
        <v>0</v>
      </c>
      <c r="W6" s="7">
        <v>2015</v>
      </c>
      <c r="X6" s="54">
        <f>'NYSERA GWhr'!O22</f>
        <v>142345.93790699998</v>
      </c>
      <c r="Y6" s="54"/>
      <c r="Z6" s="54">
        <f>'Annual Benefits'!Z13/1000</f>
        <v>443.91800000000001</v>
      </c>
      <c r="AA6" s="65">
        <f>'Annual Benefits'!AA13/1000</f>
        <v>779.27599999999995</v>
      </c>
      <c r="AB6" s="66">
        <f t="shared" si="4"/>
        <v>5.4745222200097525E-3</v>
      </c>
      <c r="AD6" s="54">
        <f>SUM('NYSERA GWhr'!C22:E22)</f>
        <v>63957.111104000003</v>
      </c>
      <c r="AE6" s="66">
        <f t="shared" si="0"/>
        <v>1.2184352709940685E-2</v>
      </c>
    </row>
    <row r="7" spans="1:42" x14ac:dyDescent="0.3">
      <c r="A7" s="7">
        <v>2015</v>
      </c>
      <c r="B7" s="54">
        <f>'CAMD Emissions Data'!B25</f>
        <v>33226651.687000006</v>
      </c>
      <c r="C7" s="54">
        <f>'Annual Benefits'!O13</f>
        <v>351802</v>
      </c>
      <c r="D7" s="54">
        <f>SUM('Annual Benefits'!O$11:'Annual Benefits'!O13)</f>
        <v>759805</v>
      </c>
      <c r="E7" s="66">
        <f t="shared" si="1"/>
        <v>2.2867335750754423E-2</v>
      </c>
      <c r="G7" s="7">
        <v>2015</v>
      </c>
      <c r="H7" s="54">
        <f t="shared" si="2"/>
        <v>33226651.687000006</v>
      </c>
      <c r="I7" s="54">
        <f>'Annual Benefits'!V13</f>
        <v>2631669</v>
      </c>
      <c r="J7" s="70">
        <f>'CAMD Emissions Data'!B25/'CAMD Emissions Data'!R25</f>
        <v>6.2458708517591527E-2</v>
      </c>
      <c r="K7" s="25">
        <f t="shared" si="5"/>
        <v>164370.64698578158</v>
      </c>
      <c r="L7" s="25">
        <f>SUM(K$5:K7)</f>
        <v>393818.79072455538</v>
      </c>
      <c r="M7" s="66">
        <f t="shared" si="6"/>
        <v>1.1852497038653997E-2</v>
      </c>
      <c r="O7" s="7">
        <v>2015</v>
      </c>
      <c r="P7" s="54">
        <f t="shared" si="3"/>
        <v>33226651.687000006</v>
      </c>
      <c r="Q7" s="54">
        <f>'Annual Benefits'!Z13</f>
        <v>443918</v>
      </c>
      <c r="R7" s="70">
        <f>'CAMD Emissions Data'!B25/'CAMD Emissions Data'!H25</f>
        <v>0.5610248862139916</v>
      </c>
      <c r="S7" s="25">
        <f t="shared" si="7"/>
        <v>249049.04543834273</v>
      </c>
      <c r="T7" s="25">
        <f>SUM(AA$44:AA60)</f>
        <v>0</v>
      </c>
      <c r="U7" s="66">
        <f t="shared" si="8"/>
        <v>0</v>
      </c>
      <c r="W7" s="7">
        <v>2016</v>
      </c>
      <c r="X7" s="54">
        <f>'NYSERA GWhr'!O23</f>
        <v>137531.50000000003</v>
      </c>
      <c r="Y7" s="54"/>
      <c r="Z7" s="54">
        <f>'Annual Benefits'!Z14/1000</f>
        <v>687.79600000000005</v>
      </c>
      <c r="AA7" s="65">
        <f>'Annual Benefits'!AA14/1000</f>
        <v>1467.0719999999999</v>
      </c>
      <c r="AB7" s="66">
        <f t="shared" si="4"/>
        <v>1.0667170793600009E-2</v>
      </c>
      <c r="AD7" s="54">
        <f>SUM('NYSERA GWhr'!C23:E23)</f>
        <v>61866.200000000004</v>
      </c>
      <c r="AE7" s="66">
        <f t="shared" si="0"/>
        <v>2.3713627150204794E-2</v>
      </c>
    </row>
    <row r="8" spans="1:42" x14ac:dyDescent="0.3">
      <c r="A8" s="7">
        <v>2016</v>
      </c>
      <c r="B8" s="54">
        <f>'CAMD Emissions Data'!B26</f>
        <v>31384868.120999992</v>
      </c>
      <c r="C8" s="54">
        <f>'Annual Benefits'!O14</f>
        <v>676266</v>
      </c>
      <c r="D8" s="54">
        <f>SUM('Annual Benefits'!O$11:'Annual Benefits'!O14)</f>
        <v>1436071</v>
      </c>
      <c r="E8" s="66">
        <f t="shared" si="1"/>
        <v>4.5756795741929777E-2</v>
      </c>
      <c r="G8" s="7">
        <v>2016</v>
      </c>
      <c r="H8" s="54">
        <f t="shared" si="2"/>
        <v>31384868.120999992</v>
      </c>
      <c r="I8" s="54">
        <f>'Annual Benefits'!V14</f>
        <v>2728814</v>
      </c>
      <c r="J8" s="70">
        <f>'CAMD Emissions Data'!B26/'CAMD Emissions Data'!R26</f>
        <v>6.1564253694190163E-2</v>
      </c>
      <c r="K8" s="25">
        <f t="shared" si="5"/>
        <v>167997.39738025784</v>
      </c>
      <c r="L8" s="25">
        <f>SUM(K$5:K8)</f>
        <v>561816.18810481322</v>
      </c>
      <c r="M8" s="66">
        <f t="shared" si="6"/>
        <v>1.7900861840132929E-2</v>
      </c>
      <c r="O8" s="7">
        <v>2016</v>
      </c>
      <c r="P8" s="54">
        <f t="shared" si="3"/>
        <v>31384868.120999992</v>
      </c>
      <c r="Q8" s="54">
        <f>'Annual Benefits'!Z14</f>
        <v>687796</v>
      </c>
      <c r="R8" s="70">
        <f>'CAMD Emissions Data'!B26/'CAMD Emissions Data'!H26</f>
        <v>0.55507520923533837</v>
      </c>
      <c r="S8" s="25">
        <f t="shared" si="7"/>
        <v>381778.50861122878</v>
      </c>
      <c r="T8" s="25">
        <f>SUM(AA$44:AA61)</f>
        <v>0</v>
      </c>
      <c r="U8" s="66">
        <f t="shared" si="8"/>
        <v>0</v>
      </c>
      <c r="W8" s="7">
        <v>2017</v>
      </c>
      <c r="X8" s="54">
        <f>'NYSERA GWhr'!O24</f>
        <v>131182.5</v>
      </c>
      <c r="Y8" s="54"/>
      <c r="Z8" s="54">
        <f>'Annual Benefits'!Z15/1000</f>
        <v>1003.014</v>
      </c>
      <c r="AA8" s="65">
        <f>'Annual Benefits'!AA15/1000</f>
        <v>2470.0859999999998</v>
      </c>
      <c r="AB8" s="66">
        <f t="shared" si="4"/>
        <v>1.8829386541649989E-2</v>
      </c>
      <c r="AD8" s="54">
        <f>SUM('NYSERA GWhr'!C24:E24)</f>
        <v>51473.399999999994</v>
      </c>
      <c r="AE8" s="66">
        <f t="shared" si="0"/>
        <v>4.7987620790544243E-2</v>
      </c>
    </row>
    <row r="9" spans="1:42" x14ac:dyDescent="0.3">
      <c r="A9" s="7">
        <v>2017</v>
      </c>
      <c r="B9" s="54">
        <f>'CAMD Emissions Data'!B27</f>
        <v>25268988.217000004</v>
      </c>
      <c r="C9" s="54">
        <f>'Annual Benefits'!O15</f>
        <v>890368</v>
      </c>
      <c r="D9" s="54">
        <f>SUM('Annual Benefits'!O$11:'Annual Benefits'!O15)</f>
        <v>2326439</v>
      </c>
      <c r="E9" s="66">
        <f t="shared" si="1"/>
        <v>9.20669628724929E-2</v>
      </c>
      <c r="G9" s="7">
        <v>2017</v>
      </c>
      <c r="H9" s="54">
        <f t="shared" si="2"/>
        <v>25268988.217000004</v>
      </c>
      <c r="I9" s="54">
        <f>'Annual Benefits'!V15</f>
        <v>3243676</v>
      </c>
      <c r="J9" s="70">
        <f>'CAMD Emissions Data'!B27/'CAMD Emissions Data'!R27</f>
        <v>6.1054311541021748E-2</v>
      </c>
      <c r="K9" s="25">
        <f t="shared" si="5"/>
        <v>198040.40504213527</v>
      </c>
      <c r="L9" s="25">
        <f>SUM(K$5:K9)</f>
        <v>759856.59314694849</v>
      </c>
      <c r="M9" s="66">
        <f t="shared" si="6"/>
        <v>3.0070716984059782E-2</v>
      </c>
      <c r="O9" s="7">
        <v>2017</v>
      </c>
      <c r="P9" s="54">
        <f t="shared" si="3"/>
        <v>25268988.217000004</v>
      </c>
      <c r="Q9" s="54">
        <f>'Annual Benefits'!Z15</f>
        <v>1003014</v>
      </c>
      <c r="R9" s="70">
        <f>'CAMD Emissions Data'!B27/'CAMD Emissions Data'!H27</f>
        <v>0.54613489532715109</v>
      </c>
      <c r="S9" s="25">
        <f t="shared" si="7"/>
        <v>547780.94590166712</v>
      </c>
      <c r="T9" s="25">
        <f>SUM(AA$44:AA62)</f>
        <v>0</v>
      </c>
      <c r="U9" s="66">
        <f t="shared" si="8"/>
        <v>0</v>
      </c>
      <c r="W9" s="7">
        <v>2018</v>
      </c>
      <c r="X9" s="54">
        <f>'NYSERA GWhr'!O25</f>
        <v>135585.19999999998</v>
      </c>
      <c r="Y9" s="54"/>
      <c r="Z9" s="54">
        <f>'Annual Benefits'!Z16/1000</f>
        <v>1373.7529999999999</v>
      </c>
      <c r="AA9" s="65">
        <f>'Annual Benefits'!AA16/1000</f>
        <v>3843.8389999999999</v>
      </c>
      <c r="AB9" s="66">
        <f t="shared" si="4"/>
        <v>2.8349989526880517E-2</v>
      </c>
      <c r="AD9" s="54">
        <f>SUM('NYSERA GWhr'!C25:E25)</f>
        <v>55962.899999999994</v>
      </c>
      <c r="AE9" s="66">
        <f t="shared" si="0"/>
        <v>6.8685486277516E-2</v>
      </c>
    </row>
    <row r="10" spans="1:42" x14ac:dyDescent="0.3">
      <c r="A10" s="7">
        <v>2018</v>
      </c>
      <c r="B10" s="54">
        <f>'CAMD Emissions Data'!B28</f>
        <v>27973346.119999997</v>
      </c>
      <c r="C10" s="54">
        <f>'Annual Benefits'!O16</f>
        <v>1116587</v>
      </c>
      <c r="D10" s="54">
        <f>SUM('Annual Benefits'!O$11:'Annual Benefits'!O16)</f>
        <v>3443026</v>
      </c>
      <c r="E10" s="66">
        <f t="shared" si="1"/>
        <v>0.12308237939180085</v>
      </c>
      <c r="G10" s="7">
        <v>2018</v>
      </c>
      <c r="H10" s="54">
        <f t="shared" si="2"/>
        <v>27973346.119999997</v>
      </c>
      <c r="I10" s="54">
        <f>'Annual Benefits'!V16</f>
        <v>3296867</v>
      </c>
      <c r="J10" s="70">
        <f>'CAMD Emissions Data'!B28/'CAMD Emissions Data'!R28</f>
        <v>6.1403694627120413E-2</v>
      </c>
      <c r="K10" s="25">
        <f t="shared" si="5"/>
        <v>202439.81449423058</v>
      </c>
      <c r="L10" s="25">
        <f>SUM(K$5:K10)</f>
        <v>962296.40764117904</v>
      </c>
      <c r="M10" s="66">
        <f t="shared" si="6"/>
        <v>3.440047549238915E-2</v>
      </c>
      <c r="O10" s="7">
        <v>2018</v>
      </c>
      <c r="P10" s="54">
        <f t="shared" si="3"/>
        <v>27973346.119999997</v>
      </c>
      <c r="Q10" s="54">
        <f>'Annual Benefits'!Z16</f>
        <v>1373753</v>
      </c>
      <c r="R10" s="70">
        <f>'CAMD Emissions Data'!B28/'CAMD Emissions Data'!H28</f>
        <v>0.54940048628001392</v>
      </c>
      <c r="S10" s="25">
        <f t="shared" si="7"/>
        <v>754740.56622862793</v>
      </c>
      <c r="T10" s="25">
        <f>SUM(AA$44:AA63)</f>
        <v>0</v>
      </c>
      <c r="U10" s="66">
        <f t="shared" si="8"/>
        <v>0</v>
      </c>
      <c r="W10" s="55">
        <v>2019</v>
      </c>
      <c r="X10" s="54">
        <f>'NYSERA GWhr'!O26</f>
        <v>134536.4</v>
      </c>
      <c r="Y10" s="54"/>
      <c r="Z10" s="54">
        <f>'Annual Benefits'!Z17/1000</f>
        <v>1054.777</v>
      </c>
      <c r="AA10" s="65">
        <f>'Annual Benefits'!AA17/1000</f>
        <v>4898.616</v>
      </c>
      <c r="AB10" s="66">
        <f t="shared" si="4"/>
        <v>3.6411082799896535E-2</v>
      </c>
      <c r="AD10" s="54">
        <f>SUM('NYSERA GWhr'!C26:E26)</f>
        <v>51871</v>
      </c>
      <c r="AE10" s="66">
        <f t="shared" si="0"/>
        <v>9.4438433806944153E-2</v>
      </c>
    </row>
    <row r="11" spans="1:42" x14ac:dyDescent="0.3">
      <c r="A11" s="55">
        <v>2019</v>
      </c>
      <c r="B11" s="54">
        <f>'CAMD Emissions Data'!B29</f>
        <v>24868687.187999994</v>
      </c>
      <c r="C11" s="54">
        <f>'Annual Benefits'!O17</f>
        <v>977422</v>
      </c>
      <c r="D11" s="54">
        <f>SUM('Annual Benefits'!O$11:'Annual Benefits'!O17)</f>
        <v>4420448</v>
      </c>
      <c r="E11" s="66">
        <f t="shared" si="1"/>
        <v>0.17775156229931671</v>
      </c>
      <c r="G11" s="55">
        <v>2019</v>
      </c>
      <c r="H11" s="54">
        <f t="shared" si="2"/>
        <v>24868687.187999994</v>
      </c>
      <c r="I11" s="54">
        <f>'Annual Benefits'!V17</f>
        <v>3267269</v>
      </c>
      <c r="J11" s="70">
        <f>'CAMD Emissions Data'!B29/'CAMD Emissions Data'!R29</f>
        <v>6.0766543179730424E-2</v>
      </c>
      <c r="K11" s="25">
        <f t="shared" si="5"/>
        <v>198540.64276829464</v>
      </c>
      <c r="L11" s="25">
        <f>SUM(K$5:K11)</f>
        <v>1160837.0504094737</v>
      </c>
      <c r="M11" s="66">
        <f t="shared" si="6"/>
        <v>4.6678662272515048E-2</v>
      </c>
      <c r="O11" s="55">
        <v>2019</v>
      </c>
      <c r="P11" s="54">
        <f t="shared" si="3"/>
        <v>24868687.187999994</v>
      </c>
      <c r="Q11" s="54">
        <f>'Annual Benefits'!Z17</f>
        <v>1054777</v>
      </c>
      <c r="R11" s="70">
        <f>'CAMD Emissions Data'!B29/'CAMD Emissions Data'!H29</f>
        <v>0.53244087173331689</v>
      </c>
      <c r="S11" s="25">
        <f t="shared" si="7"/>
        <v>561606.38536425284</v>
      </c>
      <c r="T11" s="25">
        <f>SUM(AA$44:AA64)</f>
        <v>0</v>
      </c>
      <c r="U11" s="66">
        <f t="shared" si="8"/>
        <v>0</v>
      </c>
      <c r="W11" s="55">
        <v>2020</v>
      </c>
      <c r="X11" s="54">
        <f>'NYSERA GWhr'!O27</f>
        <v>131461.6</v>
      </c>
      <c r="Y11" s="54"/>
      <c r="Z11" s="54">
        <f>'Annual Benefits'!Z18/1000</f>
        <v>1792.8979999999999</v>
      </c>
      <c r="AA11" s="65">
        <f>'Annual Benefits'!AA18/1000</f>
        <v>6691.5140000000001</v>
      </c>
      <c r="AB11" s="66">
        <f t="shared" si="4"/>
        <v>5.0900901860315102E-2</v>
      </c>
      <c r="AD11" s="54">
        <f>SUM('NYSERA GWhr'!C27:E27)</f>
        <v>56424.800000000003</v>
      </c>
      <c r="AE11" s="66">
        <f t="shared" si="0"/>
        <v>0.11859171853511222</v>
      </c>
    </row>
    <row r="12" spans="1:42" x14ac:dyDescent="0.3">
      <c r="A12" s="55">
        <v>2020</v>
      </c>
      <c r="B12" s="54">
        <f>'CAMD Emissions Data'!B30</f>
        <v>26868363.636999995</v>
      </c>
      <c r="C12" s="54">
        <f>'Annual Benefits'!O18</f>
        <v>1446937</v>
      </c>
      <c r="D12" s="54">
        <f>SUM('Annual Benefits'!O$11:'Annual Benefits'!O18)</f>
        <v>5867385</v>
      </c>
      <c r="E12" s="66">
        <f t="shared" si="1"/>
        <v>0.21837522668928441</v>
      </c>
      <c r="G12" s="55">
        <v>2020</v>
      </c>
      <c r="H12" s="54">
        <f t="shared" si="2"/>
        <v>26868363.636999995</v>
      </c>
      <c r="I12" s="54">
        <f>'Annual Benefits'!V18</f>
        <v>6714938</v>
      </c>
      <c r="J12" s="70">
        <f>'CAMD Emissions Data'!B30/'CAMD Emissions Data'!R30</f>
        <v>6.0347552108497599E-2</v>
      </c>
      <c r="K12" s="25">
        <f t="shared" si="5"/>
        <v>405230.07086033066</v>
      </c>
      <c r="L12" s="25">
        <f>SUM(K$5:K12)</f>
        <v>1566067.1212698044</v>
      </c>
      <c r="M12" s="66">
        <f t="shared" si="6"/>
        <v>5.8286657960561407E-2</v>
      </c>
      <c r="O12" s="55">
        <v>2020</v>
      </c>
      <c r="P12" s="54">
        <f t="shared" si="3"/>
        <v>26868363.636999995</v>
      </c>
      <c r="Q12" s="54">
        <f>'Annual Benefits'!Z18</f>
        <v>1792898</v>
      </c>
      <c r="R12" s="70">
        <f>'CAMD Emissions Data'!B30/'CAMD Emissions Data'!H30</f>
        <v>0.52320022356852258</v>
      </c>
      <c r="S12" s="25">
        <f t="shared" si="7"/>
        <v>938044.63443555695</v>
      </c>
      <c r="T12" s="25">
        <f>SUM(AA$44:AA65)</f>
        <v>0</v>
      </c>
      <c r="U12" s="66">
        <f t="shared" si="8"/>
        <v>0</v>
      </c>
      <c r="W12" s="55">
        <v>2021</v>
      </c>
      <c r="X12" s="54">
        <f>'NYSERA GWhr'!O28</f>
        <v>126766.09999999999</v>
      </c>
      <c r="Y12" s="54"/>
      <c r="Z12" s="54">
        <f>'Annual Benefits'!Z19/1000</f>
        <v>1922.5630000000001</v>
      </c>
      <c r="AA12" s="65">
        <f>'Annual Benefits'!AA19/1000</f>
        <v>8614.0769999999993</v>
      </c>
      <c r="AB12" s="66">
        <f t="shared" si="4"/>
        <v>6.7952528317902022E-2</v>
      </c>
      <c r="AD12" s="54">
        <f>SUM('NYSERA GWhr'!C28:E28)</f>
        <v>59620.700000000004</v>
      </c>
      <c r="AE12" s="66">
        <f t="shared" si="0"/>
        <v>0.14448131269844197</v>
      </c>
    </row>
    <row r="13" spans="1:42" x14ac:dyDescent="0.3">
      <c r="A13" s="55">
        <v>2021</v>
      </c>
      <c r="B13" s="54">
        <f>'CAMD Emissions Data'!B31</f>
        <v>28546529.206999999</v>
      </c>
      <c r="C13" s="54">
        <f>'Annual Benefits'!O19</f>
        <v>1593038</v>
      </c>
      <c r="D13" s="54">
        <f>SUM('Annual Benefits'!O$11:'Annual Benefits'!O19)</f>
        <v>7460423</v>
      </c>
      <c r="E13" s="66">
        <f t="shared" si="1"/>
        <v>0.26134255922680094</v>
      </c>
      <c r="G13" s="55">
        <v>2021</v>
      </c>
      <c r="H13" s="54">
        <f t="shared" si="2"/>
        <v>28546529.206999999</v>
      </c>
      <c r="I13" s="54">
        <f>'Annual Benefits'!V19</f>
        <v>7862973</v>
      </c>
      <c r="J13" s="70">
        <f>'CAMD Emissions Data'!B31/'CAMD Emissions Data'!R31</f>
        <v>6.0332653689234808E-2</v>
      </c>
      <c r="K13" s="25">
        <f t="shared" si="5"/>
        <v>474394.02697680367</v>
      </c>
      <c r="L13" s="25">
        <f>SUM(K$5:K13)</f>
        <v>2040461.1482466082</v>
      </c>
      <c r="M13" s="66">
        <f t="shared" si="6"/>
        <v>7.1478432052127006E-2</v>
      </c>
      <c r="O13" s="55">
        <v>2021</v>
      </c>
      <c r="P13" s="54">
        <f t="shared" si="3"/>
        <v>28546529.206999999</v>
      </c>
      <c r="Q13" s="54">
        <f>'Annual Benefits'!Z19</f>
        <v>1922563</v>
      </c>
      <c r="R13" s="70">
        <f>'CAMD Emissions Data'!B31/'CAMD Emissions Data'!H31</f>
        <v>0.51803026058190582</v>
      </c>
      <c r="S13" s="25">
        <f t="shared" si="7"/>
        <v>995945.81187513063</v>
      </c>
      <c r="T13" s="25">
        <f>SUM(AA$44:AA66)</f>
        <v>0</v>
      </c>
      <c r="U13" s="66">
        <f t="shared" si="8"/>
        <v>0</v>
      </c>
      <c r="W13" s="73"/>
      <c r="X13" s="50"/>
      <c r="Y13" s="50"/>
      <c r="Z13" s="50"/>
      <c r="AA13" s="74"/>
      <c r="AB13" s="75"/>
      <c r="AD13" s="50"/>
      <c r="AE13" s="75"/>
    </row>
    <row r="14" spans="1:42" x14ac:dyDescent="0.3">
      <c r="AD14" s="50"/>
      <c r="AE14" s="75"/>
    </row>
    <row r="16" spans="1:42" ht="30.6" customHeight="1" x14ac:dyDescent="0.3"/>
    <row r="25" spans="23:36" x14ac:dyDescent="0.3">
      <c r="AJ25" s="3">
        <f>B5-B13</f>
        <v>5397134.6939999722</v>
      </c>
    </row>
    <row r="26" spans="23:36" x14ac:dyDescent="0.3">
      <c r="AJ26" s="3">
        <f>B13+D13</f>
        <v>36006952.207000002</v>
      </c>
    </row>
    <row r="28" spans="23:36" ht="32.4" customHeight="1" x14ac:dyDescent="0.3">
      <c r="W28" s="159"/>
      <c r="Y28" s="64"/>
      <c r="Z28" s="162" t="s">
        <v>63</v>
      </c>
      <c r="AA28" s="162"/>
      <c r="AB28" s="162"/>
      <c r="AD28" s="162" t="s">
        <v>64</v>
      </c>
      <c r="AE28" s="162"/>
      <c r="AF28" s="162"/>
      <c r="AG28" s="162"/>
    </row>
    <row r="29" spans="23:36" ht="86.4" x14ac:dyDescent="0.3">
      <c r="W29" s="159"/>
      <c r="Y29" s="64"/>
      <c r="Z29" s="64" t="s">
        <v>58</v>
      </c>
      <c r="AA29" s="64" t="s">
        <v>51</v>
      </c>
      <c r="AB29" s="64" t="s">
        <v>60</v>
      </c>
      <c r="AD29" s="64" t="s">
        <v>65</v>
      </c>
      <c r="AE29" s="64" t="s">
        <v>61</v>
      </c>
      <c r="AF29" s="64" t="s">
        <v>51</v>
      </c>
      <c r="AG29" s="64" t="s">
        <v>56</v>
      </c>
    </row>
    <row r="30" spans="23:36" x14ac:dyDescent="0.3">
      <c r="W30" s="7">
        <v>2013</v>
      </c>
      <c r="Y30" s="54"/>
      <c r="Z30" s="54">
        <f>'Annual Benefits'!V11</f>
        <v>1373643</v>
      </c>
      <c r="AA30" s="54">
        <f>'Annual Benefits'!W11</f>
        <v>1373643</v>
      </c>
      <c r="AB30" s="66">
        <f t="shared" ref="AB30:AB38" si="9">AA30/I5</f>
        <v>1</v>
      </c>
      <c r="AD30" s="70">
        <f>'CAMD Emissions Data'!W23</f>
        <v>6.4308332988361888E-2</v>
      </c>
      <c r="AE30" s="25">
        <f t="shared" ref="AE30:AE38" si="10">AD30*C5</f>
        <v>9442.906999345083</v>
      </c>
      <c r="AF30" s="25">
        <f>SUM(AE$30:AE30)</f>
        <v>9442.906999345083</v>
      </c>
      <c r="AG30" s="66">
        <f t="shared" ref="AG30:AG38" si="11">AF30/B5</f>
        <v>2.781935098958748E-4</v>
      </c>
    </row>
    <row r="31" spans="23:36" x14ac:dyDescent="0.3">
      <c r="W31" s="7">
        <v>2014</v>
      </c>
      <c r="Y31" s="54"/>
      <c r="Z31" s="54">
        <f>'Annual Benefits'!V12</f>
        <v>2188496</v>
      </c>
      <c r="AA31" s="54">
        <f>'Annual Benefits'!W12</f>
        <v>3562139</v>
      </c>
      <c r="AB31" s="66">
        <f t="shared" si="9"/>
        <v>1.6276653007362134</v>
      </c>
      <c r="AD31" s="70">
        <f>'CAMD Emissions Data'!W24</f>
        <v>6.4478734385459868E-2</v>
      </c>
      <c r="AE31" s="25">
        <f t="shared" si="10"/>
        <v>16839.588665778625</v>
      </c>
      <c r="AF31" s="25">
        <f>SUM(AE$30:AE31)</f>
        <v>26282.495665123708</v>
      </c>
      <c r="AG31" s="66">
        <f t="shared" si="11"/>
        <v>7.5816203601359981E-4</v>
      </c>
    </row>
    <row r="32" spans="23:36" x14ac:dyDescent="0.3">
      <c r="W32" s="7">
        <v>2015</v>
      </c>
      <c r="Y32" s="54"/>
      <c r="Z32" s="54">
        <f>'Annual Benefits'!V13</f>
        <v>2631669</v>
      </c>
      <c r="AA32" s="54">
        <f>'Annual Benefits'!W13</f>
        <v>6193808</v>
      </c>
      <c r="AB32" s="66">
        <f t="shared" si="9"/>
        <v>2.3535665009543374</v>
      </c>
      <c r="AD32" s="70">
        <f>'CAMD Emissions Data'!W25</f>
        <v>6.2458708517591527E-2</v>
      </c>
      <c r="AE32" s="25">
        <f t="shared" si="10"/>
        <v>21973.098573905736</v>
      </c>
      <c r="AF32" s="25">
        <f>SUM(AE$30:AE32)</f>
        <v>48255.594239029444</v>
      </c>
      <c r="AG32" s="66">
        <f t="shared" si="11"/>
        <v>1.4523158906772885E-3</v>
      </c>
    </row>
    <row r="33" spans="23:36" x14ac:dyDescent="0.3">
      <c r="W33" s="7">
        <v>2016</v>
      </c>
      <c r="Y33" s="54"/>
      <c r="Z33" s="54">
        <f>'Annual Benefits'!V14</f>
        <v>2728814</v>
      </c>
      <c r="AA33" s="54">
        <f>'Annual Benefits'!W14</f>
        <v>8922622</v>
      </c>
      <c r="AB33" s="66">
        <f t="shared" si="9"/>
        <v>3.2697802048802154</v>
      </c>
      <c r="AD33" s="70">
        <f>'CAMD Emissions Data'!W26</f>
        <v>6.1564253694190163E-2</v>
      </c>
      <c r="AE33" s="25">
        <f t="shared" si="10"/>
        <v>41633.811588755205</v>
      </c>
      <c r="AF33" s="25">
        <f>SUM(AE$30:AE33)</f>
        <v>89889.405827784649</v>
      </c>
      <c r="AG33" s="66">
        <f t="shared" si="11"/>
        <v>2.8641001606643226E-3</v>
      </c>
    </row>
    <row r="34" spans="23:36" x14ac:dyDescent="0.3">
      <c r="W34" s="7">
        <v>2017</v>
      </c>
      <c r="Y34" s="54"/>
      <c r="Z34" s="54">
        <f>'Annual Benefits'!V15</f>
        <v>3243676</v>
      </c>
      <c r="AA34" s="54">
        <f>'Annual Benefits'!W15</f>
        <v>12166298</v>
      </c>
      <c r="AB34" s="66">
        <f t="shared" si="9"/>
        <v>3.7507747382907541</v>
      </c>
      <c r="AD34" s="70">
        <f>'CAMD Emissions Data'!W27</f>
        <v>6.1054311541021748E-2</v>
      </c>
      <c r="AE34" s="25">
        <f t="shared" si="10"/>
        <v>54360.805258156455</v>
      </c>
      <c r="AF34" s="25">
        <f>SUM(AE$30:AE34)</f>
        <v>144250.21108594112</v>
      </c>
      <c r="AG34" s="66">
        <f t="shared" si="11"/>
        <v>5.7085867406790397E-3</v>
      </c>
    </row>
    <row r="35" spans="23:36" x14ac:dyDescent="0.3">
      <c r="W35" s="7">
        <v>2018</v>
      </c>
      <c r="Y35" s="54"/>
      <c r="Z35" s="54">
        <f>'Annual Benefits'!V16</f>
        <v>3296867</v>
      </c>
      <c r="AA35" s="54">
        <f>'Annual Benefits'!W16</f>
        <v>15463165</v>
      </c>
      <c r="AB35" s="66">
        <f t="shared" si="9"/>
        <v>4.6902604806320669</v>
      </c>
      <c r="AD35" s="70">
        <f>'CAMD Emissions Data'!W28</f>
        <v>6.1403694627120413E-2</v>
      </c>
      <c r="AE35" s="25">
        <f t="shared" si="10"/>
        <v>68562.5671726125</v>
      </c>
      <c r="AF35" s="25">
        <f>SUM(AE$30:AE35)</f>
        <v>212812.77825855362</v>
      </c>
      <c r="AG35" s="66">
        <f t="shared" si="11"/>
        <v>7.607698319165317E-3</v>
      </c>
    </row>
    <row r="36" spans="23:36" x14ac:dyDescent="0.3">
      <c r="W36" s="55">
        <v>2019</v>
      </c>
      <c r="Y36" s="54"/>
      <c r="Z36" s="54">
        <f>'Annual Benefits'!V17</f>
        <v>3267269</v>
      </c>
      <c r="AA36" s="54">
        <f>'Annual Benefits'!W17</f>
        <v>18730434</v>
      </c>
      <c r="AB36" s="66">
        <f t="shared" si="9"/>
        <v>5.732749277760723</v>
      </c>
      <c r="AD36" s="70">
        <f>'CAMD Emissions Data'!W29</f>
        <v>6.0766543179730424E-2</v>
      </c>
      <c r="AE36" s="25">
        <f t="shared" si="10"/>
        <v>59394.556167818468</v>
      </c>
      <c r="AF36" s="25">
        <f>SUM(AE$30:AE36)</f>
        <v>272207.33442637208</v>
      </c>
      <c r="AG36" s="66">
        <f t="shared" si="11"/>
        <v>1.0945786255967769E-2</v>
      </c>
    </row>
    <row r="37" spans="23:36" x14ac:dyDescent="0.3">
      <c r="W37" s="55">
        <v>2020</v>
      </c>
      <c r="Y37" s="54"/>
      <c r="Z37" s="54">
        <f>'Annual Benefits'!V18</f>
        <v>6714938</v>
      </c>
      <c r="AA37" s="54">
        <f>'Annual Benefits'!W18</f>
        <v>25445372</v>
      </c>
      <c r="AB37" s="66">
        <f t="shared" si="9"/>
        <v>3.7893681222373163</v>
      </c>
      <c r="AD37" s="70">
        <f>'CAMD Emissions Data'!W30</f>
        <v>6.0347552108497599E-2</v>
      </c>
      <c r="AE37" s="25">
        <f t="shared" si="10"/>
        <v>87319.106005213194</v>
      </c>
      <c r="AF37" s="25">
        <f>SUM(AE$30:AE37)</f>
        <v>359526.4404315853</v>
      </c>
      <c r="AG37" s="66">
        <f t="shared" si="11"/>
        <v>1.3381032253727845E-2</v>
      </c>
    </row>
    <row r="38" spans="23:36" x14ac:dyDescent="0.3">
      <c r="W38" s="55">
        <v>2021</v>
      </c>
      <c r="Y38" s="54"/>
      <c r="Z38" s="54">
        <f>'Annual Benefits'!V19</f>
        <v>7862973</v>
      </c>
      <c r="AA38" s="54">
        <f>'Annual Benefits'!W19</f>
        <v>33308345</v>
      </c>
      <c r="AB38" s="66">
        <f t="shared" si="9"/>
        <v>4.2361006453920167</v>
      </c>
      <c r="AD38" s="70">
        <f>'CAMD Emissions Data'!W31</f>
        <v>6.0332653689234808E-2</v>
      </c>
      <c r="AE38" s="25">
        <f t="shared" si="10"/>
        <v>96112.209967791234</v>
      </c>
      <c r="AF38" s="25">
        <f>SUM(AE$30:AE38)</f>
        <v>455638.65039937652</v>
      </c>
      <c r="AG38" s="66">
        <f t="shared" si="11"/>
        <v>1.5961262649318773E-2</v>
      </c>
    </row>
    <row r="42" spans="23:36" ht="43.2" customHeight="1" x14ac:dyDescent="0.3"/>
    <row r="43" spans="23:36" ht="43.2" customHeight="1" x14ac:dyDescent="0.3">
      <c r="AH43" s="7" t="s">
        <v>24</v>
      </c>
      <c r="AI43" s="64" t="s">
        <v>66</v>
      </c>
      <c r="AJ43" s="64" t="s">
        <v>79</v>
      </c>
    </row>
    <row r="44" spans="23:36" x14ac:dyDescent="0.3">
      <c r="AH44" s="7">
        <v>2013</v>
      </c>
      <c r="AI44" s="25">
        <f>B5*2000/'CAMD Emissions Data'!H23</f>
        <v>1154.5371515553154</v>
      </c>
      <c r="AJ44" s="77">
        <f>AD30*2000</f>
        <v>128.61666597672377</v>
      </c>
    </row>
    <row r="45" spans="23:36" x14ac:dyDescent="0.3">
      <c r="AH45" s="7">
        <v>2014</v>
      </c>
      <c r="AI45" s="25">
        <f>B6*2000/'CAMD Emissions Data'!H24</f>
        <v>1155.1509391087668</v>
      </c>
      <c r="AJ45" s="77">
        <f t="shared" ref="AJ45:AJ52" si="12">AD31*2000</f>
        <v>128.95746877091975</v>
      </c>
    </row>
    <row r="46" spans="23:36" x14ac:dyDescent="0.3">
      <c r="AH46" s="7">
        <v>2015</v>
      </c>
      <c r="AI46" s="25">
        <f>B7*2000/'CAMD Emissions Data'!H25</f>
        <v>1122.0497724279833</v>
      </c>
      <c r="AJ46" s="77">
        <f t="shared" si="12"/>
        <v>124.91741703518305</v>
      </c>
    </row>
    <row r="47" spans="23:36" x14ac:dyDescent="0.3">
      <c r="AH47" s="7">
        <v>2016</v>
      </c>
      <c r="AI47" s="25">
        <f>B8*2000/'CAMD Emissions Data'!H26</f>
        <v>1110.1504184706766</v>
      </c>
      <c r="AJ47" s="77">
        <f t="shared" si="12"/>
        <v>123.12850738838033</v>
      </c>
    </row>
    <row r="48" spans="23:36" x14ac:dyDescent="0.3">
      <c r="AH48" s="7">
        <v>2017</v>
      </c>
      <c r="AI48" s="25">
        <f>B9*2000/'CAMD Emissions Data'!H27</f>
        <v>1092.2697906543021</v>
      </c>
      <c r="AJ48" s="77">
        <f t="shared" si="12"/>
        <v>122.10862308204349</v>
      </c>
    </row>
    <row r="49" spans="34:36" x14ac:dyDescent="0.3">
      <c r="AH49" s="7">
        <v>2018</v>
      </c>
      <c r="AI49" s="25">
        <f>B10*2000/'CAMD Emissions Data'!H28</f>
        <v>1098.8009725600277</v>
      </c>
      <c r="AJ49" s="77">
        <f t="shared" si="12"/>
        <v>122.80738925424083</v>
      </c>
    </row>
    <row r="50" spans="34:36" x14ac:dyDescent="0.3">
      <c r="AH50" s="55">
        <v>2019</v>
      </c>
      <c r="AI50" s="25">
        <f>B11*2000/'CAMD Emissions Data'!H29</f>
        <v>1064.8817434666339</v>
      </c>
      <c r="AJ50" s="77">
        <f t="shared" si="12"/>
        <v>121.53308635946085</v>
      </c>
    </row>
    <row r="51" spans="34:36" x14ac:dyDescent="0.3">
      <c r="AH51" s="55">
        <v>2020</v>
      </c>
      <c r="AI51" s="25">
        <f>B12*2000/'CAMD Emissions Data'!H30</f>
        <v>1046.4004471370451</v>
      </c>
      <c r="AJ51" s="77">
        <f t="shared" si="12"/>
        <v>120.69510421699519</v>
      </c>
    </row>
    <row r="52" spans="34:36" x14ac:dyDescent="0.3">
      <c r="AH52" s="55">
        <v>2021</v>
      </c>
      <c r="AI52" s="25">
        <f>B13*2000/'CAMD Emissions Data'!H31</f>
        <v>1036.0605211638117</v>
      </c>
      <c r="AJ52" s="77">
        <f t="shared" si="12"/>
        <v>120.66530737846962</v>
      </c>
    </row>
    <row r="57" spans="34:36" ht="75" customHeight="1" x14ac:dyDescent="0.3"/>
  </sheetData>
  <mergeCells count="18">
    <mergeCell ref="A3:A4"/>
    <mergeCell ref="C3:E3"/>
    <mergeCell ref="J3:M3"/>
    <mergeCell ref="W28:W29"/>
    <mergeCell ref="Z28:AB28"/>
    <mergeCell ref="W2:W3"/>
    <mergeCell ref="X2:X3"/>
    <mergeCell ref="Z2:AB2"/>
    <mergeCell ref="O3:O4"/>
    <mergeCell ref="P3:P4"/>
    <mergeCell ref="Q3:Q4"/>
    <mergeCell ref="R3:U3"/>
    <mergeCell ref="G3:G4"/>
    <mergeCell ref="H3:H4"/>
    <mergeCell ref="I3:I4"/>
    <mergeCell ref="AD28:AG28"/>
    <mergeCell ref="AD2:AD3"/>
    <mergeCell ref="AE2:A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FB2C2-0943-4AA4-A61E-AEEC3D681936}">
  <sheetPr>
    <pageSetUpPr fitToPage="1"/>
  </sheetPr>
  <dimension ref="A1:Q86"/>
  <sheetViews>
    <sheetView zoomScaleNormal="100" workbookViewId="0">
      <selection activeCell="K33" sqref="K33"/>
    </sheetView>
  </sheetViews>
  <sheetFormatPr defaultRowHeight="14.4" x14ac:dyDescent="0.3"/>
  <cols>
    <col min="1" max="1" width="45.5546875" bestFit="1" customWidth="1"/>
    <col min="2" max="2" width="14.33203125" bestFit="1" customWidth="1"/>
    <col min="3" max="5" width="18" bestFit="1" customWidth="1"/>
    <col min="6" max="6" width="14.33203125" bestFit="1" customWidth="1"/>
    <col min="7" max="9" width="18" bestFit="1" customWidth="1"/>
    <col min="13" max="13" width="7.109375" bestFit="1" customWidth="1"/>
    <col min="14" max="14" width="12" bestFit="1" customWidth="1"/>
    <col min="15" max="16" width="10.5546875" bestFit="1" customWidth="1"/>
  </cols>
  <sheetData>
    <row r="1" spans="1:17" x14ac:dyDescent="0.3">
      <c r="A1" s="120" t="s">
        <v>143</v>
      </c>
      <c r="D1" s="71" t="s">
        <v>144</v>
      </c>
    </row>
    <row r="2" spans="1:17" ht="15" thickBot="1" x14ac:dyDescent="0.35">
      <c r="A2" s="92"/>
      <c r="B2" s="93"/>
      <c r="C2" s="93"/>
      <c r="D2" s="93"/>
      <c r="E2" s="93"/>
      <c r="F2" s="93"/>
      <c r="G2" s="93"/>
      <c r="H2" s="93"/>
      <c r="I2" s="93"/>
    </row>
    <row r="3" spans="1:17" x14ac:dyDescent="0.3">
      <c r="A3" s="94"/>
      <c r="B3" s="167" t="s">
        <v>104</v>
      </c>
      <c r="C3" s="168"/>
      <c r="D3" s="168"/>
      <c r="E3" s="168"/>
      <c r="F3" s="167" t="s">
        <v>105</v>
      </c>
      <c r="G3" s="168"/>
      <c r="H3" s="168"/>
      <c r="I3" s="169"/>
    </row>
    <row r="4" spans="1:17" ht="36.6" x14ac:dyDescent="0.3">
      <c r="A4" s="170" t="s">
        <v>106</v>
      </c>
      <c r="B4" s="95" t="s">
        <v>107</v>
      </c>
      <c r="C4" s="96" t="s">
        <v>108</v>
      </c>
      <c r="D4" s="97" t="s">
        <v>109</v>
      </c>
      <c r="E4" s="97" t="s">
        <v>110</v>
      </c>
      <c r="F4" s="95" t="s">
        <v>107</v>
      </c>
      <c r="G4" s="96" t="s">
        <v>108</v>
      </c>
      <c r="H4" s="97" t="s">
        <v>109</v>
      </c>
      <c r="I4" s="98" t="s">
        <v>110</v>
      </c>
    </row>
    <row r="5" spans="1:17" x14ac:dyDescent="0.3">
      <c r="A5" s="171"/>
      <c r="B5" s="99" t="s">
        <v>111</v>
      </c>
      <c r="C5" s="100" t="s">
        <v>112</v>
      </c>
      <c r="D5" s="100" t="s">
        <v>113</v>
      </c>
      <c r="E5" s="100" t="s">
        <v>114</v>
      </c>
      <c r="F5" s="99" t="s">
        <v>111</v>
      </c>
      <c r="G5" s="100" t="s">
        <v>112</v>
      </c>
      <c r="H5" s="100" t="s">
        <v>113</v>
      </c>
      <c r="I5" s="101" t="s">
        <v>114</v>
      </c>
    </row>
    <row r="6" spans="1:17" x14ac:dyDescent="0.3">
      <c r="A6" s="172"/>
      <c r="B6" s="102" t="s">
        <v>115</v>
      </c>
      <c r="C6" s="103" t="s">
        <v>116</v>
      </c>
      <c r="D6" s="103" t="s">
        <v>116</v>
      </c>
      <c r="E6" s="103" t="s">
        <v>116</v>
      </c>
      <c r="F6" s="102" t="s">
        <v>115</v>
      </c>
      <c r="G6" s="103" t="s">
        <v>116</v>
      </c>
      <c r="H6" s="103" t="s">
        <v>116</v>
      </c>
      <c r="I6" s="104" t="s">
        <v>116</v>
      </c>
    </row>
    <row r="7" spans="1:17" x14ac:dyDescent="0.3">
      <c r="A7" s="105" t="s">
        <v>117</v>
      </c>
      <c r="B7" s="106"/>
      <c r="C7" s="107"/>
      <c r="D7" s="107"/>
      <c r="E7" s="107"/>
      <c r="F7" s="106"/>
      <c r="G7" s="107"/>
      <c r="H7" s="107"/>
      <c r="I7" s="108"/>
    </row>
    <row r="8" spans="1:17" x14ac:dyDescent="0.3">
      <c r="A8" s="109" t="s">
        <v>118</v>
      </c>
      <c r="B8" s="110"/>
      <c r="C8" s="111"/>
      <c r="D8" s="111"/>
      <c r="E8" s="111"/>
      <c r="F8" s="110">
        <v>26.9</v>
      </c>
      <c r="G8" s="111">
        <v>995806</v>
      </c>
      <c r="H8" s="111">
        <v>12719</v>
      </c>
      <c r="I8" s="112">
        <v>71558</v>
      </c>
    </row>
    <row r="9" spans="1:17" x14ac:dyDescent="0.3">
      <c r="A9" s="109" t="s">
        <v>119</v>
      </c>
      <c r="B9" s="110"/>
      <c r="C9" s="111"/>
      <c r="D9" s="111"/>
      <c r="E9" s="111"/>
      <c r="F9" s="110">
        <v>158.20000000000002</v>
      </c>
      <c r="G9" s="111">
        <v>833281</v>
      </c>
      <c r="H9" s="111">
        <v>183173</v>
      </c>
      <c r="I9" s="112">
        <v>146448</v>
      </c>
    </row>
    <row r="10" spans="1:17" x14ac:dyDescent="0.3">
      <c r="A10" s="109" t="s">
        <v>120</v>
      </c>
      <c r="B10" s="110"/>
      <c r="C10" s="111"/>
      <c r="D10" s="111"/>
      <c r="E10" s="111"/>
      <c r="F10" s="110">
        <v>4.6999999999999993</v>
      </c>
      <c r="G10" s="111">
        <v>833187</v>
      </c>
      <c r="H10" s="111">
        <v>52847</v>
      </c>
      <c r="I10" s="112">
        <v>77138</v>
      </c>
    </row>
    <row r="11" spans="1:17" x14ac:dyDescent="0.3">
      <c r="A11" s="109" t="s">
        <v>121</v>
      </c>
      <c r="B11" s="110"/>
      <c r="C11" s="111"/>
      <c r="D11" s="111"/>
      <c r="E11" s="111"/>
      <c r="F11" s="110">
        <v>1.3</v>
      </c>
      <c r="G11" s="111">
        <v>10024</v>
      </c>
      <c r="H11" s="111">
        <v>789</v>
      </c>
      <c r="I11" s="112">
        <v>977</v>
      </c>
    </row>
    <row r="12" spans="1:17" x14ac:dyDescent="0.3">
      <c r="A12" s="105" t="s">
        <v>122</v>
      </c>
      <c r="B12" s="113"/>
      <c r="C12" s="107"/>
      <c r="D12" s="107"/>
      <c r="E12" s="107"/>
      <c r="F12" s="113"/>
      <c r="G12" s="107"/>
      <c r="H12" s="107"/>
      <c r="I12" s="108"/>
      <c r="M12" s="142">
        <f>SUM(F8:F11)</f>
        <v>191.10000000000002</v>
      </c>
      <c r="N12" s="143">
        <f t="shared" ref="N12:P12" si="0">SUM(G8:G11)</f>
        <v>2672298</v>
      </c>
      <c r="O12" s="143">
        <f t="shared" si="0"/>
        <v>249528</v>
      </c>
      <c r="P12" s="143">
        <f t="shared" si="0"/>
        <v>296121</v>
      </c>
      <c r="Q12" s="121">
        <f>M12*1000000/P12</f>
        <v>645.34430182256585</v>
      </c>
    </row>
    <row r="13" spans="1:17" x14ac:dyDescent="0.3">
      <c r="A13" s="109" t="s">
        <v>123</v>
      </c>
      <c r="B13" s="110"/>
      <c r="C13" s="111"/>
      <c r="D13" s="111"/>
      <c r="E13" s="111"/>
      <c r="F13" s="110">
        <v>269.60000000000002</v>
      </c>
      <c r="G13" s="111">
        <v>35035</v>
      </c>
      <c r="H13" s="111">
        <v>1194657</v>
      </c>
      <c r="I13" s="112">
        <v>616897</v>
      </c>
    </row>
    <row r="14" spans="1:17" x14ac:dyDescent="0.3">
      <c r="A14" s="109" t="s">
        <v>124</v>
      </c>
      <c r="B14" s="110"/>
      <c r="C14" s="111"/>
      <c r="D14" s="111"/>
      <c r="E14" s="111"/>
      <c r="F14" s="110">
        <v>14.799999999999999</v>
      </c>
      <c r="G14" s="111">
        <v>477297</v>
      </c>
      <c r="H14" s="111">
        <v>20989</v>
      </c>
      <c r="I14" s="112">
        <v>41434</v>
      </c>
    </row>
    <row r="15" spans="1:17" x14ac:dyDescent="0.3">
      <c r="A15" s="109" t="s">
        <v>125</v>
      </c>
      <c r="B15" s="110"/>
      <c r="C15" s="111"/>
      <c r="D15" s="111"/>
      <c r="E15" s="111"/>
      <c r="F15" s="110">
        <v>5.9</v>
      </c>
      <c r="G15" s="111"/>
      <c r="H15" s="111"/>
      <c r="I15" s="112">
        <v>45151</v>
      </c>
    </row>
    <row r="16" spans="1:17" x14ac:dyDescent="0.3">
      <c r="A16" s="109" t="s">
        <v>126</v>
      </c>
      <c r="B16" s="110"/>
      <c r="C16" s="111"/>
      <c r="D16" s="111"/>
      <c r="E16" s="111"/>
      <c r="F16" s="110">
        <v>30</v>
      </c>
      <c r="G16" s="111">
        <v>205388</v>
      </c>
      <c r="H16" s="111">
        <v>416</v>
      </c>
      <c r="I16" s="112">
        <v>13979</v>
      </c>
    </row>
    <row r="17" spans="1:11" x14ac:dyDescent="0.3">
      <c r="A17" s="109" t="s">
        <v>127</v>
      </c>
      <c r="B17" s="110"/>
      <c r="C17" s="111"/>
      <c r="D17" s="111"/>
      <c r="E17" s="111"/>
      <c r="F17" s="110">
        <v>24.700000000000003</v>
      </c>
      <c r="G17" s="111">
        <v>359816</v>
      </c>
      <c r="H17" s="111">
        <v>2632</v>
      </c>
      <c r="I17" s="112">
        <v>27079</v>
      </c>
    </row>
    <row r="18" spans="1:11" x14ac:dyDescent="0.3">
      <c r="A18" s="109" t="s">
        <v>128</v>
      </c>
      <c r="B18" s="110"/>
      <c r="C18" s="111"/>
      <c r="D18" s="111"/>
      <c r="E18" s="111"/>
      <c r="F18" s="110">
        <v>2.8</v>
      </c>
      <c r="G18" s="111">
        <v>36548</v>
      </c>
      <c r="H18" s="111">
        <v>1573</v>
      </c>
      <c r="I18" s="112">
        <v>2798</v>
      </c>
    </row>
    <row r="19" spans="1:11" x14ac:dyDescent="0.3">
      <c r="A19" s="109" t="s">
        <v>129</v>
      </c>
      <c r="B19" s="110"/>
      <c r="C19" s="111"/>
      <c r="D19" s="111"/>
      <c r="E19" s="111"/>
      <c r="F19" s="110">
        <v>4.1999999999999993</v>
      </c>
      <c r="G19" s="111">
        <v>14217</v>
      </c>
      <c r="H19" s="111">
        <v>22</v>
      </c>
      <c r="I19" s="112">
        <v>959</v>
      </c>
    </row>
    <row r="20" spans="1:11" x14ac:dyDescent="0.3">
      <c r="A20" s="109" t="s">
        <v>130</v>
      </c>
      <c r="B20" s="110"/>
      <c r="C20" s="111"/>
      <c r="D20" s="111"/>
      <c r="E20" s="111"/>
      <c r="F20" s="110">
        <v>0.6</v>
      </c>
      <c r="G20" s="111">
        <v>8914</v>
      </c>
      <c r="H20" s="111"/>
      <c r="I20" s="112">
        <v>550</v>
      </c>
    </row>
    <row r="21" spans="1:11" x14ac:dyDescent="0.3">
      <c r="A21" s="105" t="s">
        <v>131</v>
      </c>
      <c r="B21" s="106"/>
      <c r="C21" s="107"/>
      <c r="D21" s="107"/>
      <c r="E21" s="107"/>
      <c r="F21" s="106"/>
      <c r="G21" s="107"/>
      <c r="H21" s="107"/>
      <c r="I21" s="108"/>
    </row>
    <row r="22" spans="1:11" x14ac:dyDescent="0.3">
      <c r="A22" s="109" t="s">
        <v>132</v>
      </c>
      <c r="B22" s="110"/>
      <c r="C22" s="111"/>
      <c r="D22" s="111"/>
      <c r="E22" s="111"/>
      <c r="F22" s="110">
        <v>10</v>
      </c>
      <c r="G22" s="111">
        <v>4384</v>
      </c>
      <c r="H22" s="111">
        <v>1328</v>
      </c>
      <c r="I22" s="111">
        <v>2477</v>
      </c>
    </row>
    <row r="23" spans="1:11" x14ac:dyDescent="0.3">
      <c r="A23" s="109" t="s">
        <v>133</v>
      </c>
      <c r="B23" s="110">
        <v>84.7</v>
      </c>
      <c r="C23" s="111"/>
      <c r="D23" s="111">
        <v>270924</v>
      </c>
      <c r="E23" s="111">
        <v>137622</v>
      </c>
      <c r="F23" s="110"/>
      <c r="G23" s="111"/>
      <c r="H23" s="111"/>
      <c r="I23" s="112"/>
    </row>
    <row r="24" spans="1:11" x14ac:dyDescent="0.3">
      <c r="A24" s="109" t="s">
        <v>134</v>
      </c>
      <c r="B24" s="110">
        <v>5.3</v>
      </c>
      <c r="C24" s="111"/>
      <c r="D24" s="111">
        <v>2040</v>
      </c>
      <c r="E24" s="111">
        <v>2107</v>
      </c>
      <c r="F24" s="110"/>
      <c r="G24" s="111"/>
      <c r="H24" s="111"/>
      <c r="I24" s="112"/>
    </row>
    <row r="25" spans="1:11" x14ac:dyDescent="0.3">
      <c r="A25" s="105" t="s">
        <v>135</v>
      </c>
      <c r="B25" s="106"/>
      <c r="C25" s="107"/>
      <c r="D25" s="107"/>
      <c r="E25" s="107"/>
      <c r="F25" s="106"/>
      <c r="G25" s="107"/>
      <c r="H25" s="107"/>
      <c r="I25" s="108"/>
    </row>
    <row r="26" spans="1:11" x14ac:dyDescent="0.3">
      <c r="A26" s="109" t="s">
        <v>136</v>
      </c>
      <c r="B26" s="110"/>
      <c r="C26" s="111"/>
      <c r="D26" s="111"/>
      <c r="E26" s="111"/>
      <c r="F26" s="110">
        <v>9.9</v>
      </c>
      <c r="G26" s="111">
        <v>-76946</v>
      </c>
      <c r="H26" s="111">
        <v>3688</v>
      </c>
      <c r="I26" s="112">
        <v>34018</v>
      </c>
    </row>
    <row r="27" spans="1:11" x14ac:dyDescent="0.3">
      <c r="A27" s="109" t="s">
        <v>137</v>
      </c>
      <c r="B27" s="110"/>
      <c r="C27" s="111"/>
      <c r="D27" s="111"/>
      <c r="E27" s="111"/>
      <c r="F27" s="110">
        <v>2.1</v>
      </c>
      <c r="G27" s="111">
        <v>17762</v>
      </c>
      <c r="H27" s="111">
        <v>8319</v>
      </c>
      <c r="I27" s="112">
        <v>5256</v>
      </c>
    </row>
    <row r="28" spans="1:11" x14ac:dyDescent="0.3">
      <c r="A28" s="109" t="s">
        <v>138</v>
      </c>
      <c r="B28" s="110"/>
      <c r="C28" s="111"/>
      <c r="D28" s="111"/>
      <c r="E28" s="111"/>
      <c r="F28" s="110">
        <v>1.7</v>
      </c>
      <c r="G28" s="111">
        <v>1231914</v>
      </c>
      <c r="H28" s="111">
        <v>205225</v>
      </c>
      <c r="I28" s="112">
        <v>172696</v>
      </c>
    </row>
    <row r="29" spans="1:11" x14ac:dyDescent="0.3">
      <c r="A29" s="105" t="s">
        <v>139</v>
      </c>
      <c r="B29" s="106"/>
      <c r="C29" s="107"/>
      <c r="D29" s="107"/>
      <c r="E29" s="107"/>
      <c r="F29" s="106"/>
      <c r="G29" s="107"/>
      <c r="H29" s="107"/>
      <c r="I29" s="108"/>
    </row>
    <row r="30" spans="1:11" x14ac:dyDescent="0.3">
      <c r="A30" s="109" t="s">
        <v>140</v>
      </c>
      <c r="B30" s="110"/>
      <c r="C30" s="111"/>
      <c r="D30" s="111"/>
      <c r="E30" s="111"/>
      <c r="F30" s="110">
        <v>60.7</v>
      </c>
      <c r="G30" s="111">
        <v>2880322</v>
      </c>
      <c r="H30" s="111">
        <v>-172901</v>
      </c>
      <c r="I30" s="112">
        <v>119922</v>
      </c>
    </row>
    <row r="31" spans="1:11" x14ac:dyDescent="0.3">
      <c r="A31" s="105" t="s">
        <v>141</v>
      </c>
      <c r="B31" s="106"/>
      <c r="C31" s="107"/>
      <c r="D31" s="107"/>
      <c r="E31" s="107"/>
      <c r="F31" s="106"/>
      <c r="G31" s="107"/>
      <c r="H31" s="107"/>
      <c r="I31" s="108"/>
    </row>
    <row r="32" spans="1:11" x14ac:dyDescent="0.3">
      <c r="A32" s="109" t="s">
        <v>141</v>
      </c>
      <c r="B32" s="110"/>
      <c r="C32" s="111"/>
      <c r="D32" s="111"/>
      <c r="E32" s="111"/>
      <c r="F32" s="110">
        <v>58</v>
      </c>
      <c r="G32" s="111">
        <v>830022</v>
      </c>
      <c r="H32" s="111">
        <v>147881</v>
      </c>
      <c r="I32" s="112">
        <v>137132</v>
      </c>
      <c r="K32" s="121">
        <f>F32*1000000/I32</f>
        <v>422.95015022022579</v>
      </c>
    </row>
    <row r="33" spans="1:9" x14ac:dyDescent="0.3">
      <c r="A33" s="94"/>
      <c r="B33" s="114"/>
      <c r="C33" s="94"/>
      <c r="D33" s="94"/>
      <c r="E33" s="94"/>
      <c r="F33" s="114"/>
      <c r="G33" s="94"/>
      <c r="H33" s="94"/>
      <c r="I33" s="115"/>
    </row>
    <row r="34" spans="1:9" ht="15" thickBot="1" x14ac:dyDescent="0.35">
      <c r="A34" s="116" t="s">
        <v>142</v>
      </c>
      <c r="B34" s="117">
        <f t="shared" ref="B34:I34" si="1">SUM(B8:B32)</f>
        <v>90</v>
      </c>
      <c r="C34" s="118">
        <f t="shared" si="1"/>
        <v>0</v>
      </c>
      <c r="D34" s="118">
        <f t="shared" si="1"/>
        <v>272964</v>
      </c>
      <c r="E34" s="118">
        <f t="shared" si="1"/>
        <v>139729</v>
      </c>
      <c r="F34" s="117">
        <f t="shared" si="1"/>
        <v>686.10000000000014</v>
      </c>
      <c r="G34" s="118">
        <f t="shared" si="1"/>
        <v>8696971</v>
      </c>
      <c r="H34" s="118">
        <f t="shared" si="1"/>
        <v>1663357</v>
      </c>
      <c r="I34" s="119">
        <f t="shared" si="1"/>
        <v>1516469</v>
      </c>
    </row>
    <row r="37" spans="1:9" x14ac:dyDescent="0.3">
      <c r="B37" s="121">
        <f>B34*1000000/E34</f>
        <v>644.10394406315083</v>
      </c>
      <c r="F37" s="121">
        <f>F34*1000000/I34</f>
        <v>452.43259176415745</v>
      </c>
    </row>
    <row r="39" spans="1:9" x14ac:dyDescent="0.3">
      <c r="A39" s="123" t="s">
        <v>145</v>
      </c>
      <c r="B39" s="123" t="s">
        <v>111</v>
      </c>
      <c r="C39" s="123" t="s">
        <v>112</v>
      </c>
      <c r="D39" s="123" t="s">
        <v>113</v>
      </c>
      <c r="E39" s="123" t="s">
        <v>114</v>
      </c>
    </row>
    <row r="40" spans="1:9" x14ac:dyDescent="0.3">
      <c r="A40" s="124" t="s">
        <v>133</v>
      </c>
      <c r="B40" s="56">
        <v>75.7</v>
      </c>
      <c r="C40" s="56"/>
      <c r="D40" s="125">
        <v>270924</v>
      </c>
      <c r="E40" s="125">
        <v>137622</v>
      </c>
    </row>
    <row r="41" spans="1:9" x14ac:dyDescent="0.3">
      <c r="A41" s="124" t="s">
        <v>134</v>
      </c>
      <c r="B41" s="56">
        <v>5.3</v>
      </c>
      <c r="C41" s="56"/>
      <c r="D41" s="125">
        <v>2040</v>
      </c>
      <c r="E41" s="125">
        <v>2107</v>
      </c>
    </row>
    <row r="42" spans="1:9" x14ac:dyDescent="0.3">
      <c r="A42" s="122" t="s">
        <v>146</v>
      </c>
      <c r="B42" s="25">
        <f>B40+B41</f>
        <v>81</v>
      </c>
      <c r="C42" s="25">
        <f t="shared" ref="C42:E42" si="2">C40+C41</f>
        <v>0</v>
      </c>
      <c r="D42" s="25">
        <f t="shared" si="2"/>
        <v>272964</v>
      </c>
      <c r="E42" s="25">
        <f t="shared" si="2"/>
        <v>139729</v>
      </c>
    </row>
    <row r="44" spans="1:9" x14ac:dyDescent="0.3">
      <c r="A44" s="123" t="s">
        <v>147</v>
      </c>
      <c r="B44" s="123" t="s">
        <v>111</v>
      </c>
      <c r="C44" s="123" t="s">
        <v>112</v>
      </c>
      <c r="D44" s="123" t="s">
        <v>113</v>
      </c>
      <c r="E44" s="123" t="s">
        <v>114</v>
      </c>
    </row>
    <row r="45" spans="1:9" x14ac:dyDescent="0.3">
      <c r="A45" s="124" t="s">
        <v>133</v>
      </c>
      <c r="B45" s="56">
        <v>77.099999999999994</v>
      </c>
      <c r="C45" s="56"/>
      <c r="D45" s="125">
        <v>270924</v>
      </c>
      <c r="E45" s="125">
        <v>137622</v>
      </c>
    </row>
    <row r="46" spans="1:9" x14ac:dyDescent="0.3">
      <c r="A46" s="124" t="s">
        <v>134</v>
      </c>
      <c r="B46" s="56">
        <v>5.3</v>
      </c>
      <c r="C46" s="56"/>
      <c r="D46" s="125">
        <v>2040</v>
      </c>
      <c r="E46" s="125">
        <v>2107</v>
      </c>
    </row>
    <row r="47" spans="1:9" x14ac:dyDescent="0.3">
      <c r="A47" s="122" t="s">
        <v>146</v>
      </c>
      <c r="B47" s="25">
        <f>B45+B46</f>
        <v>82.399999999999991</v>
      </c>
      <c r="C47" s="25">
        <f t="shared" ref="C47" si="3">C45+C46</f>
        <v>0</v>
      </c>
      <c r="D47" s="25">
        <f t="shared" ref="D47" si="4">D45+D46</f>
        <v>272964</v>
      </c>
      <c r="E47" s="25">
        <f t="shared" ref="E47" si="5">E45+E46</f>
        <v>139729</v>
      </c>
    </row>
    <row r="49" spans="1:5" x14ac:dyDescent="0.3">
      <c r="A49" s="123" t="s">
        <v>148</v>
      </c>
      <c r="B49" s="123" t="s">
        <v>111</v>
      </c>
      <c r="C49" s="123" t="s">
        <v>112</v>
      </c>
      <c r="D49" s="123" t="s">
        <v>113</v>
      </c>
      <c r="E49" s="123" t="s">
        <v>114</v>
      </c>
    </row>
    <row r="50" spans="1:5" x14ac:dyDescent="0.3">
      <c r="A50" s="124" t="s">
        <v>133</v>
      </c>
      <c r="B50" s="56">
        <v>67.7</v>
      </c>
      <c r="C50" s="56"/>
      <c r="D50" s="111">
        <v>258034</v>
      </c>
      <c r="E50" s="111">
        <v>131173</v>
      </c>
    </row>
    <row r="51" spans="1:5" x14ac:dyDescent="0.3">
      <c r="A51" s="124" t="s">
        <v>134</v>
      </c>
      <c r="B51" s="56">
        <v>5.3</v>
      </c>
      <c r="C51" s="56"/>
      <c r="D51" s="111">
        <v>2040</v>
      </c>
      <c r="E51" s="111">
        <v>2107</v>
      </c>
    </row>
    <row r="52" spans="1:5" x14ac:dyDescent="0.3">
      <c r="A52" s="122" t="s">
        <v>146</v>
      </c>
      <c r="B52" s="25">
        <f>B50+B51</f>
        <v>73</v>
      </c>
      <c r="C52" s="25">
        <f t="shared" ref="C52" si="6">C50+C51</f>
        <v>0</v>
      </c>
      <c r="D52" s="25">
        <f t="shared" ref="D52" si="7">D50+D51</f>
        <v>260074</v>
      </c>
      <c r="E52" s="25">
        <f t="shared" ref="E52" si="8">E50+E51</f>
        <v>133280</v>
      </c>
    </row>
    <row r="54" spans="1:5" x14ac:dyDescent="0.3">
      <c r="A54" s="123" t="s">
        <v>149</v>
      </c>
      <c r="B54" s="123" t="s">
        <v>111</v>
      </c>
      <c r="C54" s="123" t="s">
        <v>112</v>
      </c>
      <c r="D54" s="123" t="s">
        <v>113</v>
      </c>
      <c r="E54" s="123" t="s">
        <v>114</v>
      </c>
    </row>
    <row r="55" spans="1:5" x14ac:dyDescent="0.3">
      <c r="A55" s="124" t="s">
        <v>133</v>
      </c>
      <c r="B55" s="56">
        <v>64.7</v>
      </c>
      <c r="C55" s="56"/>
      <c r="D55" s="111">
        <v>242813</v>
      </c>
      <c r="E55" s="111">
        <v>140831</v>
      </c>
    </row>
    <row r="56" spans="1:5" x14ac:dyDescent="0.3">
      <c r="A56" s="124" t="s">
        <v>134</v>
      </c>
      <c r="B56" s="56">
        <v>5.3</v>
      </c>
      <c r="C56" s="56"/>
      <c r="D56" s="111">
        <v>2040</v>
      </c>
      <c r="E56" s="111">
        <v>1183</v>
      </c>
    </row>
    <row r="57" spans="1:5" x14ac:dyDescent="0.3">
      <c r="A57" s="122" t="s">
        <v>146</v>
      </c>
      <c r="B57" s="77">
        <f>B55+B56</f>
        <v>70</v>
      </c>
      <c r="C57" s="25">
        <f t="shared" ref="C57" si="9">C55+C56</f>
        <v>0</v>
      </c>
      <c r="D57" s="25">
        <f t="shared" ref="D57" si="10">D55+D56</f>
        <v>244853</v>
      </c>
      <c r="E57" s="25">
        <f t="shared" ref="E57" si="11">E55+E56</f>
        <v>142014</v>
      </c>
    </row>
    <row r="58" spans="1:5" x14ac:dyDescent="0.3">
      <c r="B58" s="126"/>
    </row>
    <row r="59" spans="1:5" x14ac:dyDescent="0.3">
      <c r="A59" s="123" t="s">
        <v>150</v>
      </c>
      <c r="B59" s="127" t="s">
        <v>111</v>
      </c>
      <c r="C59" s="123" t="s">
        <v>112</v>
      </c>
      <c r="D59" s="123" t="s">
        <v>113</v>
      </c>
      <c r="E59" s="123" t="s">
        <v>114</v>
      </c>
    </row>
    <row r="60" spans="1:5" x14ac:dyDescent="0.3">
      <c r="A60" s="124" t="s">
        <v>133</v>
      </c>
      <c r="B60" s="77">
        <v>52.6</v>
      </c>
      <c r="C60" s="56"/>
      <c r="D60" s="111">
        <v>200431</v>
      </c>
      <c r="E60" s="111">
        <v>116250</v>
      </c>
    </row>
    <row r="61" spans="1:5" x14ac:dyDescent="0.3">
      <c r="A61" s="124" t="s">
        <v>134</v>
      </c>
      <c r="B61" s="77">
        <v>5.3</v>
      </c>
      <c r="C61" s="56"/>
      <c r="D61" s="111">
        <v>2040</v>
      </c>
      <c r="E61" s="111">
        <v>1183</v>
      </c>
    </row>
    <row r="62" spans="1:5" x14ac:dyDescent="0.3">
      <c r="A62" s="122" t="s">
        <v>146</v>
      </c>
      <c r="B62" s="77">
        <f>B60+B61</f>
        <v>57.9</v>
      </c>
      <c r="C62" s="25">
        <f t="shared" ref="C62" si="12">C60+C61</f>
        <v>0</v>
      </c>
      <c r="D62" s="25">
        <f t="shared" ref="D62" si="13">D60+D61</f>
        <v>202471</v>
      </c>
      <c r="E62" s="25">
        <f t="shared" ref="E62" si="14">E60+E61</f>
        <v>117433</v>
      </c>
    </row>
    <row r="63" spans="1:5" x14ac:dyDescent="0.3">
      <c r="B63" s="126"/>
    </row>
    <row r="64" spans="1:5" x14ac:dyDescent="0.3">
      <c r="A64" s="123" t="s">
        <v>151</v>
      </c>
      <c r="B64" s="127" t="s">
        <v>111</v>
      </c>
      <c r="C64" s="123" t="s">
        <v>112</v>
      </c>
      <c r="D64" s="123" t="s">
        <v>113</v>
      </c>
      <c r="E64" s="123" t="s">
        <v>114</v>
      </c>
    </row>
    <row r="65" spans="1:5" x14ac:dyDescent="0.3">
      <c r="A65" s="124" t="s">
        <v>133</v>
      </c>
      <c r="B65" s="77">
        <v>53.8</v>
      </c>
      <c r="C65" s="56"/>
      <c r="D65" s="111">
        <v>201626</v>
      </c>
      <c r="E65" s="111">
        <v>116943</v>
      </c>
    </row>
    <row r="66" spans="1:5" x14ac:dyDescent="0.3">
      <c r="A66" s="124" t="s">
        <v>134</v>
      </c>
      <c r="B66" s="77">
        <v>5.3</v>
      </c>
      <c r="C66" s="56"/>
      <c r="D66" s="111">
        <v>2040</v>
      </c>
      <c r="E66" s="111">
        <v>1183</v>
      </c>
    </row>
    <row r="67" spans="1:5" x14ac:dyDescent="0.3">
      <c r="A67" s="122" t="s">
        <v>146</v>
      </c>
      <c r="B67" s="77">
        <f>B65+B66</f>
        <v>59.099999999999994</v>
      </c>
      <c r="C67" s="25">
        <f t="shared" ref="C67" si="15">C65+C66</f>
        <v>0</v>
      </c>
      <c r="D67" s="25">
        <f t="shared" ref="D67" si="16">D65+D66</f>
        <v>203666</v>
      </c>
      <c r="E67" s="25">
        <f t="shared" ref="E67" si="17">E65+E66</f>
        <v>118126</v>
      </c>
    </row>
    <row r="68" spans="1:5" x14ac:dyDescent="0.3">
      <c r="B68" s="126"/>
    </row>
    <row r="69" spans="1:5" x14ac:dyDescent="0.3">
      <c r="A69" s="123" t="s">
        <v>152</v>
      </c>
      <c r="B69" s="127" t="s">
        <v>111</v>
      </c>
      <c r="C69" s="123" t="s">
        <v>112</v>
      </c>
      <c r="D69" s="123" t="s">
        <v>113</v>
      </c>
      <c r="E69" s="123" t="s">
        <v>114</v>
      </c>
    </row>
    <row r="70" spans="1:5" x14ac:dyDescent="0.3">
      <c r="A70" s="124" t="s">
        <v>133</v>
      </c>
      <c r="B70" s="77">
        <v>51.3</v>
      </c>
      <c r="C70" s="56"/>
      <c r="D70" s="111">
        <v>153595</v>
      </c>
      <c r="E70" s="111">
        <v>47998</v>
      </c>
    </row>
    <row r="71" spans="1:5" x14ac:dyDescent="0.3">
      <c r="A71" s="124" t="s">
        <v>134</v>
      </c>
      <c r="B71" s="77">
        <v>5.3</v>
      </c>
      <c r="C71" s="56"/>
      <c r="D71" s="111">
        <v>2217</v>
      </c>
      <c r="E71" s="111">
        <v>693</v>
      </c>
    </row>
    <row r="72" spans="1:5" x14ac:dyDescent="0.3">
      <c r="A72" s="122" t="s">
        <v>146</v>
      </c>
      <c r="B72" s="77">
        <f>B70+B71</f>
        <v>56.599999999999994</v>
      </c>
      <c r="C72" s="25">
        <f t="shared" ref="C72" si="18">C70+C71</f>
        <v>0</v>
      </c>
      <c r="D72" s="25">
        <f t="shared" ref="D72" si="19">D70+D71</f>
        <v>155812</v>
      </c>
      <c r="E72" s="25">
        <f t="shared" ref="E72" si="20">E70+E71</f>
        <v>48691</v>
      </c>
    </row>
    <row r="73" spans="1:5" x14ac:dyDescent="0.3">
      <c r="B73" s="126"/>
    </row>
    <row r="74" spans="1:5" x14ac:dyDescent="0.3">
      <c r="A74" s="123" t="s">
        <v>153</v>
      </c>
      <c r="B74" s="127" t="s">
        <v>111</v>
      </c>
      <c r="C74" s="123" t="s">
        <v>112</v>
      </c>
      <c r="D74" s="123" t="s">
        <v>113</v>
      </c>
      <c r="E74" s="123" t="s">
        <v>114</v>
      </c>
    </row>
    <row r="75" spans="1:5" x14ac:dyDescent="0.3">
      <c r="A75" s="124" t="s">
        <v>133</v>
      </c>
      <c r="B75" s="77">
        <v>33.9</v>
      </c>
      <c r="C75" s="56"/>
      <c r="D75" s="111">
        <v>36330</v>
      </c>
      <c r="E75" s="111">
        <v>11353</v>
      </c>
    </row>
    <row r="76" spans="1:5" x14ac:dyDescent="0.3">
      <c r="A76" s="124" t="s">
        <v>134</v>
      </c>
      <c r="B76" s="77">
        <v>5.3</v>
      </c>
      <c r="C76" s="56"/>
      <c r="D76" s="111">
        <v>2088</v>
      </c>
      <c r="E76" s="111">
        <v>652</v>
      </c>
    </row>
    <row r="77" spans="1:5" x14ac:dyDescent="0.3">
      <c r="A77" s="122" t="s">
        <v>146</v>
      </c>
      <c r="B77" s="77">
        <f>B75+B76</f>
        <v>39.199999999999996</v>
      </c>
      <c r="C77" s="25">
        <f t="shared" ref="C77" si="21">C75+C76</f>
        <v>0</v>
      </c>
      <c r="D77" s="25">
        <f t="shared" ref="D77" si="22">D75+D76</f>
        <v>38418</v>
      </c>
      <c r="E77" s="25">
        <f t="shared" ref="E77" si="23">E75+E76</f>
        <v>12005</v>
      </c>
    </row>
    <row r="78" spans="1:5" x14ac:dyDescent="0.3">
      <c r="B78" s="126"/>
    </row>
    <row r="79" spans="1:5" x14ac:dyDescent="0.3">
      <c r="A79" s="123" t="s">
        <v>154</v>
      </c>
      <c r="B79" s="127" t="s">
        <v>111</v>
      </c>
      <c r="C79" s="123" t="s">
        <v>112</v>
      </c>
      <c r="D79" s="123" t="s">
        <v>113</v>
      </c>
      <c r="E79" s="123" t="s">
        <v>114</v>
      </c>
    </row>
    <row r="80" spans="1:5" x14ac:dyDescent="0.3">
      <c r="A80" s="124" t="s">
        <v>133</v>
      </c>
      <c r="B80" s="77">
        <v>40.200000000000003</v>
      </c>
      <c r="C80" s="56"/>
      <c r="D80" s="111">
        <v>31310</v>
      </c>
      <c r="E80" s="111">
        <v>9784</v>
      </c>
    </row>
    <row r="81" spans="1:7" x14ac:dyDescent="0.3">
      <c r="A81" s="124" t="s">
        <v>134</v>
      </c>
      <c r="B81" s="77">
        <v>5.3</v>
      </c>
      <c r="C81" s="56"/>
      <c r="D81" s="111">
        <v>2084</v>
      </c>
      <c r="E81" s="111">
        <v>651</v>
      </c>
    </row>
    <row r="82" spans="1:7" x14ac:dyDescent="0.3">
      <c r="A82" s="122" t="s">
        <v>146</v>
      </c>
      <c r="B82" s="77">
        <f>B80+B81</f>
        <v>45.5</v>
      </c>
      <c r="C82" s="25">
        <f t="shared" ref="C82" si="24">C80+C81</f>
        <v>0</v>
      </c>
      <c r="D82" s="25">
        <f t="shared" ref="D82" si="25">D80+D81</f>
        <v>33394</v>
      </c>
      <c r="E82" s="25">
        <f t="shared" ref="E82" si="26">E80+E81</f>
        <v>10435</v>
      </c>
    </row>
    <row r="84" spans="1:7" x14ac:dyDescent="0.3">
      <c r="A84" s="128" t="s">
        <v>155</v>
      </c>
      <c r="B84" s="121">
        <f>B82+B77+B72+B67+B62+B57+B52+B47+B42</f>
        <v>564.69999999999993</v>
      </c>
      <c r="C84" s="25">
        <f>C82+C77+C72+C67+C62+C57+C52+C47+C42</f>
        <v>0</v>
      </c>
      <c r="D84" s="25">
        <f t="shared" ref="D84:E84" si="27">D82+D77+D72+D67+D62+D57+D52+D47+D42</f>
        <v>1684616</v>
      </c>
      <c r="E84" s="25">
        <f t="shared" si="27"/>
        <v>861442</v>
      </c>
      <c r="F84" s="3">
        <v>5397135</v>
      </c>
      <c r="G84" t="s">
        <v>174</v>
      </c>
    </row>
    <row r="85" spans="1:7" x14ac:dyDescent="0.3">
      <c r="A85" s="2" t="s">
        <v>176</v>
      </c>
      <c r="B85" s="121">
        <f>B84*1000000/E84</f>
        <v>655.52875295144634</v>
      </c>
      <c r="F85" s="129">
        <f>E84/F84</f>
        <v>0.15961097878781982</v>
      </c>
      <c r="G85" t="s">
        <v>175</v>
      </c>
    </row>
    <row r="86" spans="1:7" x14ac:dyDescent="0.3">
      <c r="D86" s="2" t="s">
        <v>173</v>
      </c>
      <c r="E86" s="25">
        <f>E84/9</f>
        <v>95715.777777777781</v>
      </c>
    </row>
  </sheetData>
  <mergeCells count="3">
    <mergeCell ref="B3:E3"/>
    <mergeCell ref="F3:I3"/>
    <mergeCell ref="A4:A6"/>
  </mergeCells>
  <hyperlinks>
    <hyperlink ref="D1" r:id="rId1" xr:uid="{277D8D7E-0818-4032-8E86-AB09A9D50A17}"/>
  </hyperlinks>
  <pageMargins left="0.7" right="0.7" top="0.75" bottom="0.75" header="0.3" footer="0.3"/>
  <pageSetup scale="67" orientation="landscape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E5048-F99A-4743-8621-7D2222B0FA96}">
  <dimension ref="B2:AC45"/>
  <sheetViews>
    <sheetView workbookViewId="0">
      <selection activeCell="B2" sqref="B2"/>
    </sheetView>
  </sheetViews>
  <sheetFormatPr defaultRowHeight="14.4" x14ac:dyDescent="0.3"/>
  <cols>
    <col min="1" max="1" width="2.88671875" customWidth="1"/>
    <col min="2" max="2" width="53.77734375" bestFit="1" customWidth="1"/>
    <col min="3" max="3" width="12.33203125" hidden="1" customWidth="1"/>
    <col min="4" max="4" width="11.44140625" hidden="1" customWidth="1"/>
    <col min="5" max="7" width="10.88671875" hidden="1" customWidth="1"/>
    <col min="8" max="9" width="12.33203125" hidden="1" customWidth="1"/>
    <col min="10" max="10" width="11.88671875" bestFit="1" customWidth="1"/>
    <col min="11" max="11" width="10.88671875" bestFit="1" customWidth="1"/>
    <col min="12" max="12" width="12.109375" bestFit="1" customWidth="1"/>
    <col min="13" max="13" width="13.33203125" bestFit="1" customWidth="1"/>
    <col min="14" max="15" width="11.88671875" bestFit="1" customWidth="1"/>
    <col min="16" max="16" width="13.6640625" bestFit="1" customWidth="1"/>
    <col min="17" max="17" width="13.5546875" customWidth="1"/>
    <col min="18" max="21" width="12.33203125" customWidth="1"/>
    <col min="24" max="24" width="10.88671875" bestFit="1" customWidth="1"/>
    <col min="25" max="26" width="9.88671875" bestFit="1" customWidth="1"/>
    <col min="27" max="27" width="10.77734375" bestFit="1" customWidth="1"/>
    <col min="28" max="28" width="10.88671875" bestFit="1" customWidth="1"/>
    <col min="29" max="29" width="12.33203125" bestFit="1" customWidth="1"/>
  </cols>
  <sheetData>
    <row r="2" spans="2:29" x14ac:dyDescent="0.3">
      <c r="B2" s="9" t="s">
        <v>200</v>
      </c>
      <c r="W2" s="174">
        <f>W4+X4</f>
        <v>276000000</v>
      </c>
      <c r="X2" s="159"/>
      <c r="Y2" s="174">
        <f>Y4+Z4</f>
        <v>49000000</v>
      </c>
      <c r="Z2" s="159"/>
      <c r="AA2" s="174">
        <f>AA4+AB4</f>
        <v>760581473</v>
      </c>
      <c r="AB2" s="159"/>
      <c r="AC2" s="3">
        <f>SUM(W2:AB2)</f>
        <v>1085581473</v>
      </c>
    </row>
    <row r="3" spans="2:29" ht="15" thickBot="1" x14ac:dyDescent="0.35">
      <c r="B3" s="9"/>
      <c r="W3" s="54"/>
      <c r="X3" s="62"/>
      <c r="Y3" s="54"/>
      <c r="Z3" s="62"/>
      <c r="AA3" s="54"/>
      <c r="AB3" s="62"/>
      <c r="AC3" s="3"/>
    </row>
    <row r="4" spans="2:29" ht="15" thickBot="1" x14ac:dyDescent="0.35">
      <c r="K4" s="175" t="s">
        <v>201</v>
      </c>
      <c r="L4" s="176"/>
      <c r="M4" s="176"/>
      <c r="N4" s="176"/>
      <c r="O4" s="176"/>
      <c r="P4" s="177"/>
      <c r="Q4" s="45"/>
      <c r="W4" s="25">
        <f t="shared" ref="W4:AB4" si="0">SUM(W7:W39)</f>
        <v>9000000</v>
      </c>
      <c r="X4" s="25">
        <f t="shared" si="0"/>
        <v>267000000</v>
      </c>
      <c r="Y4" s="25">
        <f t="shared" si="0"/>
        <v>16600000</v>
      </c>
      <c r="Z4" s="25">
        <f t="shared" si="0"/>
        <v>32400000</v>
      </c>
      <c r="AA4" s="25">
        <f t="shared" si="0"/>
        <v>112900000</v>
      </c>
      <c r="AB4" s="25">
        <f t="shared" si="0"/>
        <v>647681473</v>
      </c>
    </row>
    <row r="5" spans="2:29" x14ac:dyDescent="0.3">
      <c r="B5" s="178"/>
      <c r="C5" s="178" t="s">
        <v>51</v>
      </c>
      <c r="D5" s="178"/>
      <c r="E5" s="178"/>
      <c r="F5" s="178"/>
      <c r="G5" s="179"/>
      <c r="H5" s="180" t="s">
        <v>10</v>
      </c>
      <c r="I5" s="181" t="s">
        <v>202</v>
      </c>
      <c r="J5" s="181" t="s">
        <v>202</v>
      </c>
      <c r="K5" s="181" t="s">
        <v>203</v>
      </c>
      <c r="L5" s="181" t="s">
        <v>204</v>
      </c>
      <c r="M5" s="181" t="s">
        <v>205</v>
      </c>
      <c r="N5" s="181" t="s">
        <v>206</v>
      </c>
      <c r="O5" s="181" t="s">
        <v>207</v>
      </c>
      <c r="P5" s="181" t="s">
        <v>208</v>
      </c>
      <c r="Q5" s="45"/>
      <c r="R5" s="45" t="s">
        <v>209</v>
      </c>
      <c r="S5" s="45"/>
      <c r="T5" s="45"/>
      <c r="U5" s="45"/>
      <c r="W5" s="182" t="s">
        <v>210</v>
      </c>
      <c r="X5" s="182"/>
      <c r="Y5" s="182"/>
      <c r="Z5" s="182"/>
      <c r="AA5" s="182"/>
      <c r="AB5" s="182"/>
    </row>
    <row r="6" spans="2:29" ht="15" thickBot="1" x14ac:dyDescent="0.35">
      <c r="B6" s="88" t="s">
        <v>106</v>
      </c>
      <c r="C6" s="88" t="s">
        <v>211</v>
      </c>
      <c r="D6" s="88" t="s">
        <v>212</v>
      </c>
      <c r="E6" s="88" t="s">
        <v>213</v>
      </c>
      <c r="F6" s="88" t="s">
        <v>214</v>
      </c>
      <c r="G6" s="88" t="s">
        <v>215</v>
      </c>
      <c r="H6" s="91" t="s">
        <v>216</v>
      </c>
      <c r="I6" s="183" t="s">
        <v>217</v>
      </c>
      <c r="J6" s="183" t="s">
        <v>218</v>
      </c>
      <c r="K6" s="183" t="s">
        <v>219</v>
      </c>
      <c r="L6" s="183" t="s">
        <v>219</v>
      </c>
      <c r="M6" s="183" t="s">
        <v>219</v>
      </c>
      <c r="N6" s="183" t="s">
        <v>220</v>
      </c>
      <c r="O6" s="183" t="s">
        <v>219</v>
      </c>
      <c r="P6" s="183" t="s">
        <v>221</v>
      </c>
      <c r="Q6" s="45"/>
      <c r="R6" s="45" t="s">
        <v>222</v>
      </c>
      <c r="S6" s="45"/>
      <c r="T6" s="45"/>
      <c r="U6" s="45"/>
      <c r="W6" s="58" t="s">
        <v>223</v>
      </c>
      <c r="X6" s="7">
        <v>2023</v>
      </c>
      <c r="Y6" s="58" t="s">
        <v>224</v>
      </c>
      <c r="Z6" s="7">
        <v>2022</v>
      </c>
      <c r="AA6" s="7" t="s">
        <v>225</v>
      </c>
      <c r="AB6" s="7" t="s">
        <v>226</v>
      </c>
    </row>
    <row r="7" spans="2:29" x14ac:dyDescent="0.3">
      <c r="B7" s="56" t="s">
        <v>227</v>
      </c>
      <c r="C7" s="56"/>
      <c r="D7" s="56"/>
      <c r="E7" s="25">
        <v>6000000</v>
      </c>
      <c r="F7" s="25">
        <v>3000000</v>
      </c>
      <c r="G7" s="56"/>
      <c r="H7" s="25">
        <v>9000000</v>
      </c>
      <c r="I7" s="20">
        <f>SUM(D7:G7)</f>
        <v>9000000</v>
      </c>
      <c r="J7" s="184">
        <f>SUM(E7:G7)</f>
        <v>9000000</v>
      </c>
      <c r="K7" s="184"/>
      <c r="L7" s="184">
        <f>$J7</f>
        <v>9000000</v>
      </c>
      <c r="M7" s="184"/>
      <c r="N7" s="184"/>
      <c r="O7" s="184"/>
      <c r="P7" s="184"/>
      <c r="Q7" s="3"/>
      <c r="R7" s="25">
        <f>$J7</f>
        <v>9000000</v>
      </c>
      <c r="S7" s="3"/>
      <c r="T7" s="3"/>
      <c r="U7" s="3"/>
      <c r="W7" s="25">
        <f>SUM($D7:$G7)</f>
        <v>9000000</v>
      </c>
      <c r="X7" s="56"/>
      <c r="Y7" s="56"/>
      <c r="Z7" s="56"/>
      <c r="AA7" s="56"/>
      <c r="AB7" s="56"/>
    </row>
    <row r="8" spans="2:29" x14ac:dyDescent="0.3">
      <c r="B8" s="56" t="s">
        <v>228</v>
      </c>
      <c r="C8" s="56"/>
      <c r="D8" s="56"/>
      <c r="E8" s="25">
        <v>5000000</v>
      </c>
      <c r="F8" s="56"/>
      <c r="G8" s="56"/>
      <c r="H8" s="25">
        <v>5000000</v>
      </c>
      <c r="I8" s="25">
        <f t="shared" ref="I8:I39" si="1">SUM(D8:G8)</f>
        <v>5000000</v>
      </c>
      <c r="J8" s="185">
        <f t="shared" ref="J8:J39" si="2">SUM(E8:G8)</f>
        <v>5000000</v>
      </c>
      <c r="K8" s="185"/>
      <c r="L8" s="185"/>
      <c r="M8" s="185"/>
      <c r="N8" s="185"/>
      <c r="O8" s="185">
        <f>$J8</f>
        <v>5000000</v>
      </c>
      <c r="P8" s="185"/>
      <c r="Q8" s="3"/>
      <c r="R8" s="3"/>
      <c r="S8" s="3"/>
      <c r="T8" s="3"/>
      <c r="U8" s="3"/>
      <c r="W8" s="56"/>
      <c r="X8" s="25">
        <f t="shared" ref="X8:X15" si="3">SUM($D8:$G8)</f>
        <v>5000000</v>
      </c>
      <c r="Y8" s="56"/>
      <c r="Z8" s="56"/>
      <c r="AA8" s="56"/>
      <c r="AB8" s="56"/>
    </row>
    <row r="9" spans="2:29" x14ac:dyDescent="0.3">
      <c r="B9" s="56" t="s">
        <v>229</v>
      </c>
      <c r="C9" s="56"/>
      <c r="D9" s="56"/>
      <c r="E9" s="25">
        <v>5000000</v>
      </c>
      <c r="F9" s="25">
        <v>5000000</v>
      </c>
      <c r="G9" s="25">
        <v>15000000</v>
      </c>
      <c r="H9" s="25">
        <v>25000000</v>
      </c>
      <c r="I9" s="25">
        <f t="shared" si="1"/>
        <v>25000000</v>
      </c>
      <c r="J9" s="185">
        <f t="shared" si="2"/>
        <v>25000000</v>
      </c>
      <c r="K9" s="185"/>
      <c r="L9" s="185"/>
      <c r="M9" s="185"/>
      <c r="N9" s="185">
        <f>$J9</f>
        <v>25000000</v>
      </c>
      <c r="O9" s="185"/>
      <c r="P9" s="185"/>
      <c r="Q9" s="3"/>
      <c r="R9" s="3"/>
      <c r="S9" s="3"/>
      <c r="T9" s="3"/>
      <c r="U9" s="3"/>
      <c r="W9" s="56"/>
      <c r="X9" s="25">
        <f t="shared" si="3"/>
        <v>25000000</v>
      </c>
      <c r="Y9" s="56"/>
      <c r="Z9" s="56"/>
      <c r="AA9" s="56"/>
      <c r="AB9" s="56"/>
    </row>
    <row r="10" spans="2:29" x14ac:dyDescent="0.3">
      <c r="B10" s="56" t="s">
        <v>230</v>
      </c>
      <c r="C10" s="56"/>
      <c r="D10" s="56"/>
      <c r="E10" s="25">
        <v>10000000</v>
      </c>
      <c r="F10" s="25">
        <v>10000000</v>
      </c>
      <c r="G10" s="25">
        <v>15000000</v>
      </c>
      <c r="H10" s="25">
        <v>35000000</v>
      </c>
      <c r="I10" s="25">
        <f t="shared" si="1"/>
        <v>35000000</v>
      </c>
      <c r="J10" s="185">
        <f t="shared" si="2"/>
        <v>35000000</v>
      </c>
      <c r="K10" s="185"/>
      <c r="L10" s="185"/>
      <c r="M10" s="185"/>
      <c r="N10" s="185">
        <f>$J10</f>
        <v>35000000</v>
      </c>
      <c r="O10" s="185"/>
      <c r="P10" s="185"/>
      <c r="Q10" s="3"/>
      <c r="R10" s="3"/>
      <c r="S10" s="3"/>
      <c r="T10" s="3"/>
      <c r="U10" s="3"/>
      <c r="W10" s="56"/>
      <c r="X10" s="25">
        <f t="shared" si="3"/>
        <v>35000000</v>
      </c>
      <c r="Y10" s="56"/>
      <c r="Z10" s="56"/>
      <c r="AA10" s="56"/>
      <c r="AB10" s="56"/>
    </row>
    <row r="11" spans="2:29" x14ac:dyDescent="0.3">
      <c r="B11" s="56" t="s">
        <v>231</v>
      </c>
      <c r="C11" s="56"/>
      <c r="D11" s="56"/>
      <c r="E11" s="25">
        <v>5000000</v>
      </c>
      <c r="F11" s="25">
        <v>5000000</v>
      </c>
      <c r="G11" s="25">
        <v>5000000</v>
      </c>
      <c r="H11" s="25">
        <v>15000000</v>
      </c>
      <c r="I11" s="25">
        <f t="shared" si="1"/>
        <v>15000000</v>
      </c>
      <c r="J11" s="185">
        <f t="shared" si="2"/>
        <v>15000000</v>
      </c>
      <c r="K11" s="185"/>
      <c r="L11" s="185"/>
      <c r="M11" s="185"/>
      <c r="N11" s="185"/>
      <c r="O11" s="185">
        <f>$J11</f>
        <v>15000000</v>
      </c>
      <c r="P11" s="185"/>
      <c r="Q11" s="3"/>
      <c r="R11" s="3"/>
      <c r="S11" s="3"/>
      <c r="T11" s="3"/>
      <c r="U11" s="3"/>
      <c r="W11" s="56"/>
      <c r="X11" s="25">
        <f t="shared" si="3"/>
        <v>15000000</v>
      </c>
      <c r="Y11" s="56"/>
      <c r="Z11" s="56"/>
      <c r="AA11" s="56"/>
      <c r="AB11" s="56"/>
    </row>
    <row r="12" spans="2:29" x14ac:dyDescent="0.3">
      <c r="B12" s="56" t="s">
        <v>232</v>
      </c>
      <c r="C12" s="56"/>
      <c r="D12" s="56"/>
      <c r="E12" s="56"/>
      <c r="F12" s="56"/>
      <c r="G12" s="25">
        <v>15000000</v>
      </c>
      <c r="H12" s="25">
        <v>15000000</v>
      </c>
      <c r="I12" s="25">
        <f t="shared" si="1"/>
        <v>15000000</v>
      </c>
      <c r="J12" s="185">
        <f t="shared" si="2"/>
        <v>15000000</v>
      </c>
      <c r="K12" s="185"/>
      <c r="L12" s="185"/>
      <c r="M12" s="185"/>
      <c r="N12" s="185">
        <f>$J12</f>
        <v>15000000</v>
      </c>
      <c r="O12" s="185"/>
      <c r="P12" s="185"/>
      <c r="Q12" s="3"/>
      <c r="R12" s="3"/>
      <c r="S12" s="3"/>
      <c r="T12" s="3"/>
      <c r="U12" s="3"/>
      <c r="W12" s="56"/>
      <c r="X12" s="25">
        <f t="shared" si="3"/>
        <v>15000000</v>
      </c>
      <c r="Y12" s="56"/>
      <c r="Z12" s="56"/>
      <c r="AA12" s="56"/>
      <c r="AB12" s="56"/>
    </row>
    <row r="13" spans="2:29" x14ac:dyDescent="0.3">
      <c r="B13" s="56" t="s">
        <v>233</v>
      </c>
      <c r="C13" s="56"/>
      <c r="D13" s="56"/>
      <c r="E13" s="25">
        <v>5000000</v>
      </c>
      <c r="F13" s="56"/>
      <c r="G13" s="56"/>
      <c r="H13" s="25">
        <v>5000000</v>
      </c>
      <c r="I13" s="25">
        <f>SUM(D13:G13)</f>
        <v>5000000</v>
      </c>
      <c r="J13" s="185">
        <f>SUM(E13:G13)</f>
        <v>5000000</v>
      </c>
      <c r="K13" s="185"/>
      <c r="L13" s="185"/>
      <c r="M13" s="185">
        <f>$J13</f>
        <v>5000000</v>
      </c>
      <c r="N13" s="185"/>
      <c r="O13" s="185"/>
      <c r="P13" s="185"/>
      <c r="Q13" s="3"/>
      <c r="R13" s="3"/>
      <c r="S13" s="3"/>
      <c r="T13" s="3"/>
      <c r="U13" s="3"/>
      <c r="W13" s="56"/>
      <c r="X13" s="25">
        <f>SUM($D13:$G13)</f>
        <v>5000000</v>
      </c>
      <c r="Y13" s="56"/>
      <c r="Z13" s="56"/>
      <c r="AA13" s="56"/>
      <c r="AB13" s="56"/>
    </row>
    <row r="14" spans="2:29" x14ac:dyDescent="0.3">
      <c r="B14" s="56" t="s">
        <v>234</v>
      </c>
      <c r="C14" s="56"/>
      <c r="D14" s="56"/>
      <c r="E14" s="25">
        <v>5000000</v>
      </c>
      <c r="F14" s="25">
        <v>3000000</v>
      </c>
      <c r="G14" s="56"/>
      <c r="H14" s="25">
        <v>8000000</v>
      </c>
      <c r="I14" s="25">
        <f t="shared" si="1"/>
        <v>8000000</v>
      </c>
      <c r="J14" s="185">
        <f t="shared" si="2"/>
        <v>8000000</v>
      </c>
      <c r="K14" s="185"/>
      <c r="L14" s="185"/>
      <c r="M14" s="185"/>
      <c r="N14" s="185"/>
      <c r="O14" s="185">
        <f>$J14</f>
        <v>8000000</v>
      </c>
      <c r="P14" s="185"/>
      <c r="Q14" s="3"/>
      <c r="R14" s="3"/>
      <c r="S14" s="3"/>
      <c r="T14" s="3"/>
      <c r="U14" s="3"/>
      <c r="W14" s="56"/>
      <c r="X14" s="25">
        <f t="shared" si="3"/>
        <v>8000000</v>
      </c>
      <c r="Y14" s="56"/>
      <c r="Z14" s="56"/>
      <c r="AA14" s="56"/>
      <c r="AB14" s="56"/>
    </row>
    <row r="15" spans="2:29" x14ac:dyDescent="0.3">
      <c r="B15" s="56" t="s">
        <v>235</v>
      </c>
      <c r="C15" s="56"/>
      <c r="D15" s="56"/>
      <c r="E15" s="25">
        <v>50000000</v>
      </c>
      <c r="F15" s="25">
        <v>54000000</v>
      </c>
      <c r="G15" s="25">
        <v>55000000</v>
      </c>
      <c r="H15" s="25">
        <v>159000000</v>
      </c>
      <c r="I15" s="25">
        <f t="shared" si="1"/>
        <v>159000000</v>
      </c>
      <c r="J15" s="185">
        <f t="shared" si="2"/>
        <v>159000000</v>
      </c>
      <c r="K15" s="185"/>
      <c r="L15" s="185"/>
      <c r="M15" s="185">
        <f>$J15</f>
        <v>159000000</v>
      </c>
      <c r="N15" s="185"/>
      <c r="O15" s="185"/>
      <c r="P15" s="185"/>
      <c r="Q15" s="3"/>
      <c r="R15" s="25">
        <f>$J15</f>
        <v>159000000</v>
      </c>
      <c r="S15" s="3"/>
      <c r="T15" s="3"/>
      <c r="U15" s="3"/>
      <c r="W15" s="56"/>
      <c r="X15" s="25">
        <f t="shared" si="3"/>
        <v>159000000</v>
      </c>
      <c r="Y15" s="56"/>
      <c r="Z15" s="56"/>
      <c r="AA15" s="56"/>
      <c r="AB15" s="56"/>
    </row>
    <row r="16" spans="2:29" x14ac:dyDescent="0.3">
      <c r="B16" s="56" t="s">
        <v>236</v>
      </c>
      <c r="C16" s="25">
        <v>2000000</v>
      </c>
      <c r="D16" s="25">
        <v>2000000</v>
      </c>
      <c r="E16" s="25">
        <v>26000000</v>
      </c>
      <c r="F16" s="25">
        <v>19000000</v>
      </c>
      <c r="G16" s="25">
        <v>15000000</v>
      </c>
      <c r="H16" s="25">
        <v>64000000</v>
      </c>
      <c r="I16" s="25">
        <f>SUM(D16:G16)</f>
        <v>62000000</v>
      </c>
      <c r="J16" s="185">
        <f>SUM(E16:G16)</f>
        <v>60000000</v>
      </c>
      <c r="K16" s="185"/>
      <c r="L16" s="185"/>
      <c r="M16" s="185"/>
      <c r="N16" s="185"/>
      <c r="O16" s="185">
        <f>$J16</f>
        <v>60000000</v>
      </c>
      <c r="P16" s="185"/>
      <c r="Q16" s="3"/>
      <c r="R16" s="3"/>
      <c r="S16" s="3"/>
      <c r="T16" s="3"/>
      <c r="U16" s="3"/>
      <c r="W16" s="56"/>
      <c r="X16" s="56"/>
      <c r="Y16" s="56"/>
      <c r="Z16" s="56"/>
      <c r="AA16" s="25">
        <f>SUM($D16:$G16)</f>
        <v>62000000</v>
      </c>
      <c r="AB16" s="56"/>
    </row>
    <row r="17" spans="2:28" x14ac:dyDescent="0.3">
      <c r="B17" s="56" t="s">
        <v>237</v>
      </c>
      <c r="C17" s="56"/>
      <c r="D17" s="25">
        <v>5000000</v>
      </c>
      <c r="E17" s="25">
        <v>7700000</v>
      </c>
      <c r="F17" s="25">
        <v>3000000</v>
      </c>
      <c r="G17" s="56"/>
      <c r="H17" s="25">
        <v>15700000</v>
      </c>
      <c r="I17" s="25">
        <f t="shared" si="1"/>
        <v>15700000</v>
      </c>
      <c r="J17" s="185">
        <f t="shared" si="2"/>
        <v>10700000</v>
      </c>
      <c r="K17" s="185"/>
      <c r="L17" s="185"/>
      <c r="M17" s="185"/>
      <c r="N17" s="185">
        <f>$J17</f>
        <v>10700000</v>
      </c>
      <c r="O17" s="185"/>
      <c r="P17" s="185"/>
      <c r="Q17" s="3"/>
      <c r="R17" s="3"/>
      <c r="S17" s="3"/>
      <c r="T17" s="3"/>
      <c r="U17" s="3"/>
      <c r="W17" s="56"/>
      <c r="X17" s="56"/>
      <c r="Y17" s="56"/>
      <c r="Z17" s="25">
        <f>SUM($D17:$G17)</f>
        <v>15700000</v>
      </c>
      <c r="AA17" s="56"/>
      <c r="AB17" s="56"/>
    </row>
    <row r="18" spans="2:28" x14ac:dyDescent="0.3">
      <c r="B18" s="56" t="s">
        <v>238</v>
      </c>
      <c r="C18" s="56"/>
      <c r="D18" s="25">
        <v>2000000</v>
      </c>
      <c r="E18" s="25">
        <v>3000000</v>
      </c>
      <c r="F18" s="25">
        <v>2000000</v>
      </c>
      <c r="G18" s="56"/>
      <c r="H18" s="25">
        <v>7000000</v>
      </c>
      <c r="I18" s="25">
        <f t="shared" si="1"/>
        <v>7000000</v>
      </c>
      <c r="J18" s="185">
        <f t="shared" si="2"/>
        <v>5000000</v>
      </c>
      <c r="K18" s="185"/>
      <c r="L18" s="185"/>
      <c r="M18" s="185"/>
      <c r="N18" s="185"/>
      <c r="O18" s="185">
        <f>$J18</f>
        <v>5000000</v>
      </c>
      <c r="P18" s="185"/>
      <c r="Q18" s="3"/>
      <c r="R18" s="3"/>
      <c r="S18" s="3"/>
      <c r="T18" s="3"/>
      <c r="U18" s="3"/>
      <c r="W18" s="56"/>
      <c r="X18" s="56"/>
      <c r="Y18" s="25">
        <f>SUM($D18:$G18)</f>
        <v>7000000</v>
      </c>
      <c r="Z18" s="56"/>
      <c r="AA18" s="56"/>
      <c r="AB18" s="56"/>
    </row>
    <row r="19" spans="2:28" x14ac:dyDescent="0.3">
      <c r="B19" s="56" t="s">
        <v>239</v>
      </c>
      <c r="C19" s="56"/>
      <c r="D19" s="25">
        <v>800000</v>
      </c>
      <c r="E19" s="25">
        <v>900000</v>
      </c>
      <c r="F19" s="25">
        <v>900000</v>
      </c>
      <c r="G19" s="56"/>
      <c r="H19" s="25">
        <v>2600000</v>
      </c>
      <c r="I19" s="25">
        <f t="shared" si="1"/>
        <v>2600000</v>
      </c>
      <c r="J19" s="185">
        <f t="shared" si="2"/>
        <v>1800000</v>
      </c>
      <c r="K19" s="185"/>
      <c r="L19" s="185"/>
      <c r="M19" s="185"/>
      <c r="N19" s="185"/>
      <c r="O19" s="185">
        <f>$J19</f>
        <v>1800000</v>
      </c>
      <c r="P19" s="185"/>
      <c r="Q19" s="3"/>
      <c r="R19" s="3"/>
      <c r="S19" s="3"/>
      <c r="T19" s="3"/>
      <c r="U19" s="3"/>
      <c r="W19" s="56"/>
      <c r="X19" s="56"/>
      <c r="Y19" s="25">
        <f t="shared" ref="Y19:Y20" si="4">SUM($D19:$G19)</f>
        <v>2600000</v>
      </c>
      <c r="Z19" s="56"/>
      <c r="AA19" s="56"/>
      <c r="AB19" s="56"/>
    </row>
    <row r="20" spans="2:28" x14ac:dyDescent="0.3">
      <c r="B20" s="56" t="s">
        <v>240</v>
      </c>
      <c r="C20" s="56"/>
      <c r="D20" s="25">
        <v>1000000</v>
      </c>
      <c r="E20" s="25">
        <v>3000000</v>
      </c>
      <c r="F20" s="25">
        <v>3000000</v>
      </c>
      <c r="G20" s="56"/>
      <c r="H20" s="25">
        <v>7000000</v>
      </c>
      <c r="I20" s="25">
        <f t="shared" si="1"/>
        <v>7000000</v>
      </c>
      <c r="J20" s="185">
        <f t="shared" si="2"/>
        <v>6000000</v>
      </c>
      <c r="K20" s="185"/>
      <c r="L20" s="185"/>
      <c r="M20" s="185"/>
      <c r="N20" s="185">
        <f>$J20</f>
        <v>6000000</v>
      </c>
      <c r="O20" s="185"/>
      <c r="P20" s="185"/>
      <c r="Q20" s="3"/>
      <c r="R20" s="3"/>
      <c r="S20" s="3"/>
      <c r="T20" s="3"/>
      <c r="U20" s="3"/>
      <c r="W20" s="56"/>
      <c r="X20" s="56"/>
      <c r="Y20" s="25">
        <f t="shared" si="4"/>
        <v>7000000</v>
      </c>
      <c r="Z20" s="56"/>
      <c r="AA20" s="56"/>
      <c r="AB20" s="56"/>
    </row>
    <row r="21" spans="2:28" x14ac:dyDescent="0.3">
      <c r="B21" s="56" t="s">
        <v>241</v>
      </c>
      <c r="C21" s="56"/>
      <c r="D21" s="25">
        <v>10700000</v>
      </c>
      <c r="E21" s="56"/>
      <c r="F21" s="56"/>
      <c r="G21" s="25">
        <v>6000000</v>
      </c>
      <c r="H21" s="25">
        <v>16700000</v>
      </c>
      <c r="I21" s="25">
        <f t="shared" si="1"/>
        <v>16700000</v>
      </c>
      <c r="J21" s="185">
        <f t="shared" si="2"/>
        <v>6000000</v>
      </c>
      <c r="K21" s="185"/>
      <c r="L21" s="185"/>
      <c r="M21" s="185"/>
      <c r="N21" s="185"/>
      <c r="O21" s="185">
        <f>$J21</f>
        <v>6000000</v>
      </c>
      <c r="P21" s="185"/>
      <c r="Q21" s="3"/>
      <c r="R21" s="3"/>
      <c r="S21" s="3"/>
      <c r="T21" s="3"/>
      <c r="U21" s="3"/>
      <c r="W21" s="56"/>
      <c r="X21" s="25"/>
      <c r="Y21" s="56"/>
      <c r="Z21" s="25">
        <f>SUM($D21:$G21)</f>
        <v>16700000</v>
      </c>
      <c r="AA21" s="56"/>
      <c r="AB21" s="56"/>
    </row>
    <row r="22" spans="2:28" x14ac:dyDescent="0.3">
      <c r="B22" s="56" t="s">
        <v>242</v>
      </c>
      <c r="C22" s="56"/>
      <c r="D22" s="25">
        <v>1500000</v>
      </c>
      <c r="E22" s="25">
        <v>6000000</v>
      </c>
      <c r="F22" s="25">
        <v>4500000</v>
      </c>
      <c r="G22" s="25">
        <v>5000000</v>
      </c>
      <c r="H22" s="25">
        <v>17000000</v>
      </c>
      <c r="I22" s="25">
        <f t="shared" si="1"/>
        <v>17000000</v>
      </c>
      <c r="J22" s="185">
        <f t="shared" si="2"/>
        <v>15500000</v>
      </c>
      <c r="K22" s="185"/>
      <c r="L22" s="185"/>
      <c r="M22" s="185"/>
      <c r="N22" s="185"/>
      <c r="O22" s="185">
        <f>$J22</f>
        <v>15500000</v>
      </c>
      <c r="P22" s="185"/>
      <c r="Q22" s="3"/>
      <c r="R22" s="3"/>
      <c r="S22" s="3"/>
      <c r="T22" s="3"/>
      <c r="U22" s="3"/>
      <c r="W22" s="56"/>
      <c r="X22" s="56"/>
      <c r="Y22" s="56"/>
      <c r="Z22" s="56"/>
      <c r="AA22" s="56"/>
      <c r="AB22" s="25">
        <f t="shared" ref="AB22:AB25" si="5">SUM($D22:$G22)</f>
        <v>17000000</v>
      </c>
    </row>
    <row r="23" spans="2:28" x14ac:dyDescent="0.3">
      <c r="B23" s="56" t="s">
        <v>243</v>
      </c>
      <c r="C23" s="25">
        <v>29000000</v>
      </c>
      <c r="D23" s="25">
        <v>1000000</v>
      </c>
      <c r="E23" s="25">
        <v>6970000</v>
      </c>
      <c r="F23" s="25">
        <v>30000000</v>
      </c>
      <c r="G23" s="25">
        <v>17850000</v>
      </c>
      <c r="H23" s="25">
        <v>84820000</v>
      </c>
      <c r="I23" s="25">
        <f t="shared" si="1"/>
        <v>55820000</v>
      </c>
      <c r="J23" s="185">
        <f t="shared" si="2"/>
        <v>54820000</v>
      </c>
      <c r="K23" s="185">
        <f>$J23</f>
        <v>54820000</v>
      </c>
      <c r="L23" s="185"/>
      <c r="M23" s="185"/>
      <c r="N23" s="185"/>
      <c r="O23" s="185"/>
      <c r="P23" s="185"/>
      <c r="Q23" s="3"/>
      <c r="R23" s="3"/>
      <c r="S23" s="3"/>
      <c r="T23" s="3"/>
      <c r="U23" s="3"/>
      <c r="W23" s="56"/>
      <c r="X23" s="56"/>
      <c r="Y23" s="56"/>
      <c r="Z23" s="56"/>
      <c r="AA23" s="56"/>
      <c r="AB23" s="25">
        <f t="shared" si="5"/>
        <v>55820000</v>
      </c>
    </row>
    <row r="24" spans="2:28" x14ac:dyDescent="0.3">
      <c r="B24" s="56" t="s">
        <v>244</v>
      </c>
      <c r="C24" s="25">
        <v>249600000</v>
      </c>
      <c r="D24" s="25">
        <v>20000000</v>
      </c>
      <c r="E24" s="25">
        <v>20000000</v>
      </c>
      <c r="F24" s="25">
        <v>20000000</v>
      </c>
      <c r="G24" s="25">
        <v>20000000</v>
      </c>
      <c r="H24" s="25">
        <v>329600000</v>
      </c>
      <c r="I24" s="25">
        <f t="shared" si="1"/>
        <v>80000000</v>
      </c>
      <c r="J24" s="185">
        <f t="shared" si="2"/>
        <v>60000000</v>
      </c>
      <c r="K24" s="185"/>
      <c r="L24" s="185">
        <f>$J24</f>
        <v>60000000</v>
      </c>
      <c r="M24" s="185"/>
      <c r="N24" s="185"/>
      <c r="O24" s="185"/>
      <c r="P24" s="185"/>
      <c r="Q24" s="3"/>
      <c r="R24" s="3"/>
      <c r="S24" s="3"/>
      <c r="T24" s="3"/>
      <c r="U24" s="3"/>
      <c r="W24" s="56"/>
      <c r="X24" s="56"/>
      <c r="Y24" s="56"/>
      <c r="Z24" s="56"/>
      <c r="AA24" s="56"/>
      <c r="AB24" s="25">
        <f t="shared" si="5"/>
        <v>80000000</v>
      </c>
    </row>
    <row r="25" spans="2:28" x14ac:dyDescent="0.3">
      <c r="B25" s="56" t="s">
        <v>245</v>
      </c>
      <c r="C25" s="25">
        <v>55475905</v>
      </c>
      <c r="D25" s="25">
        <v>16000000</v>
      </c>
      <c r="E25" s="25">
        <v>30000000</v>
      </c>
      <c r="F25" s="25">
        <v>30000000</v>
      </c>
      <c r="G25" s="25">
        <v>45000000</v>
      </c>
      <c r="H25" s="25">
        <v>176475905</v>
      </c>
      <c r="I25" s="25">
        <f t="shared" si="1"/>
        <v>121000000</v>
      </c>
      <c r="J25" s="185">
        <f t="shared" si="2"/>
        <v>105000000</v>
      </c>
      <c r="K25" s="185"/>
      <c r="L25" s="185">
        <v>40000000</v>
      </c>
      <c r="M25" s="185"/>
      <c r="N25" s="185">
        <v>65000000</v>
      </c>
      <c r="O25" s="185"/>
      <c r="P25" s="185"/>
      <c r="Q25" s="3"/>
      <c r="R25" s="3"/>
      <c r="S25" s="3"/>
      <c r="T25" s="3"/>
      <c r="U25" s="3"/>
      <c r="W25" s="56"/>
      <c r="X25" s="56"/>
      <c r="Y25" s="56"/>
      <c r="Z25" s="56"/>
      <c r="AA25" s="56"/>
      <c r="AB25" s="25">
        <f t="shared" si="5"/>
        <v>121000000</v>
      </c>
    </row>
    <row r="26" spans="2:28" x14ac:dyDescent="0.3">
      <c r="B26" s="56" t="s">
        <v>246</v>
      </c>
      <c r="C26" s="25">
        <v>1000000</v>
      </c>
      <c r="D26" s="25">
        <v>1000000</v>
      </c>
      <c r="E26" s="25">
        <v>1000000</v>
      </c>
      <c r="F26" s="56"/>
      <c r="G26" s="56"/>
      <c r="H26" s="25">
        <v>3000000</v>
      </c>
      <c r="I26" s="25">
        <f t="shared" si="1"/>
        <v>2000000</v>
      </c>
      <c r="J26" s="185">
        <f t="shared" si="2"/>
        <v>1000000</v>
      </c>
      <c r="K26" s="185"/>
      <c r="L26" s="185"/>
      <c r="M26" s="185"/>
      <c r="N26" s="185"/>
      <c r="O26" s="185">
        <f>$J26</f>
        <v>1000000</v>
      </c>
      <c r="P26" s="185"/>
      <c r="Q26" s="3"/>
      <c r="R26" s="3"/>
      <c r="S26" s="3"/>
      <c r="T26" s="3"/>
      <c r="U26" s="3"/>
      <c r="W26" s="56"/>
      <c r="X26" s="56"/>
      <c r="Y26" s="56"/>
      <c r="Z26" s="56"/>
      <c r="AA26" s="25">
        <f t="shared" ref="AA26:AA27" si="6">SUM($D26:$G26)</f>
        <v>2000000</v>
      </c>
      <c r="AB26" s="56"/>
    </row>
    <row r="27" spans="2:28" x14ac:dyDescent="0.3">
      <c r="B27" s="56" t="s">
        <v>247</v>
      </c>
      <c r="C27" s="25">
        <v>13000000</v>
      </c>
      <c r="D27" s="25">
        <v>12600000</v>
      </c>
      <c r="E27" s="25">
        <v>17300000</v>
      </c>
      <c r="F27" s="25">
        <v>6500000</v>
      </c>
      <c r="G27" s="56"/>
      <c r="H27" s="25">
        <v>49400000</v>
      </c>
      <c r="I27" s="25">
        <f t="shared" si="1"/>
        <v>36400000</v>
      </c>
      <c r="J27" s="185">
        <f t="shared" si="2"/>
        <v>23800000</v>
      </c>
      <c r="K27" s="185"/>
      <c r="L27" s="185">
        <f>J27/2</f>
        <v>11900000</v>
      </c>
      <c r="M27" s="185"/>
      <c r="N27" s="185">
        <f>J27/2</f>
        <v>11900000</v>
      </c>
      <c r="O27" s="185"/>
      <c r="P27" s="185"/>
      <c r="Q27" s="3"/>
      <c r="R27" s="3"/>
      <c r="S27" s="3"/>
      <c r="T27" s="3"/>
      <c r="U27" s="3"/>
      <c r="W27" s="56"/>
      <c r="X27" s="56"/>
      <c r="Y27" s="56"/>
      <c r="Z27" s="56"/>
      <c r="AA27" s="25">
        <f t="shared" si="6"/>
        <v>36400000</v>
      </c>
      <c r="AB27" s="56"/>
    </row>
    <row r="28" spans="2:28" x14ac:dyDescent="0.3">
      <c r="B28" s="56" t="s">
        <v>248</v>
      </c>
      <c r="C28" s="25">
        <v>60000000</v>
      </c>
      <c r="D28" s="25">
        <v>42400000</v>
      </c>
      <c r="E28" s="25">
        <v>23000000</v>
      </c>
      <c r="F28" s="25">
        <v>30900000</v>
      </c>
      <c r="G28" s="25">
        <v>15000000</v>
      </c>
      <c r="H28" s="25">
        <v>171300000</v>
      </c>
      <c r="I28" s="25">
        <f t="shared" si="1"/>
        <v>111300000</v>
      </c>
      <c r="J28" s="185">
        <f t="shared" si="2"/>
        <v>68900000</v>
      </c>
      <c r="K28" s="185"/>
      <c r="L28" s="185"/>
      <c r="M28" s="185"/>
      <c r="N28" s="185">
        <f>$J28</f>
        <v>68900000</v>
      </c>
      <c r="O28" s="185"/>
      <c r="P28" s="185"/>
      <c r="Q28" s="3"/>
      <c r="R28" s="3"/>
      <c r="S28" s="3"/>
      <c r="T28" s="3"/>
      <c r="U28" s="3"/>
      <c r="W28" s="56"/>
      <c r="X28" s="56"/>
      <c r="Y28" s="56"/>
      <c r="Z28" s="56"/>
      <c r="AA28" s="56"/>
      <c r="AB28" s="25">
        <f>SUM($D28:$G28)</f>
        <v>111300000</v>
      </c>
    </row>
    <row r="29" spans="2:28" x14ac:dyDescent="0.3">
      <c r="B29" s="56" t="s">
        <v>249</v>
      </c>
      <c r="C29" s="25">
        <v>500000</v>
      </c>
      <c r="D29" s="25">
        <v>500000</v>
      </c>
      <c r="E29" s="25">
        <v>500000</v>
      </c>
      <c r="F29" s="56" t="s">
        <v>250</v>
      </c>
      <c r="G29" s="56" t="s">
        <v>250</v>
      </c>
      <c r="H29" s="25">
        <v>1500000</v>
      </c>
      <c r="I29" s="25">
        <f t="shared" si="1"/>
        <v>1000000</v>
      </c>
      <c r="J29" s="185">
        <f t="shared" si="2"/>
        <v>500000</v>
      </c>
      <c r="K29" s="185"/>
      <c r="L29" s="185"/>
      <c r="M29" s="185"/>
      <c r="N29" s="185"/>
      <c r="O29" s="185">
        <f>$J29</f>
        <v>500000</v>
      </c>
      <c r="P29" s="185"/>
      <c r="Q29" s="3"/>
      <c r="R29" s="3"/>
      <c r="S29" s="3"/>
      <c r="T29" s="3"/>
      <c r="U29" s="3"/>
      <c r="W29" s="56"/>
      <c r="X29" s="56"/>
      <c r="Y29" s="56"/>
      <c r="Z29" s="56"/>
      <c r="AA29" s="25">
        <f t="shared" ref="AA29:AA32" si="7">SUM($D29:$G29)</f>
        <v>1000000</v>
      </c>
      <c r="AB29" s="56"/>
    </row>
    <row r="30" spans="2:28" x14ac:dyDescent="0.3">
      <c r="B30" s="56" t="s">
        <v>251</v>
      </c>
      <c r="C30" s="25">
        <v>7273120</v>
      </c>
      <c r="D30" s="25">
        <v>3000000</v>
      </c>
      <c r="E30" s="25">
        <v>3000000</v>
      </c>
      <c r="F30" s="25">
        <v>3000000</v>
      </c>
      <c r="G30" s="56"/>
      <c r="H30" s="25">
        <v>16273120</v>
      </c>
      <c r="I30" s="25">
        <f t="shared" si="1"/>
        <v>9000000</v>
      </c>
      <c r="J30" s="185">
        <f t="shared" si="2"/>
        <v>6000000</v>
      </c>
      <c r="K30" s="185"/>
      <c r="L30" s="185"/>
      <c r="M30" s="185"/>
      <c r="N30" s="185"/>
      <c r="O30" s="185">
        <f>$J30</f>
        <v>6000000</v>
      </c>
      <c r="P30" s="185"/>
      <c r="Q30" s="3"/>
      <c r="R30" s="3"/>
      <c r="S30" s="3"/>
      <c r="T30" s="3"/>
      <c r="U30" s="3"/>
      <c r="W30" s="56"/>
      <c r="X30" s="56"/>
      <c r="Y30" s="56"/>
      <c r="Z30" s="56"/>
      <c r="AA30" s="25">
        <f t="shared" si="7"/>
        <v>9000000</v>
      </c>
      <c r="AB30" s="56"/>
    </row>
    <row r="31" spans="2:28" x14ac:dyDescent="0.3">
      <c r="B31" s="56" t="s">
        <v>252</v>
      </c>
      <c r="C31" s="25">
        <v>2400000</v>
      </c>
      <c r="D31" s="25">
        <v>2000000</v>
      </c>
      <c r="E31" s="56"/>
      <c r="F31" s="56"/>
      <c r="G31" s="56"/>
      <c r="H31" s="25">
        <v>4400000</v>
      </c>
      <c r="I31" s="25">
        <f t="shared" si="1"/>
        <v>2000000</v>
      </c>
      <c r="J31" s="185">
        <f t="shared" si="2"/>
        <v>0</v>
      </c>
      <c r="K31" s="185"/>
      <c r="L31" s="185"/>
      <c r="M31" s="185"/>
      <c r="N31" s="185"/>
      <c r="O31" s="185"/>
      <c r="P31" s="185"/>
      <c r="Q31" s="3"/>
      <c r="R31" s="3"/>
      <c r="S31" s="3"/>
      <c r="T31" s="3"/>
      <c r="U31" s="3"/>
      <c r="W31" s="56"/>
      <c r="X31" s="56"/>
      <c r="Y31" s="56"/>
      <c r="Z31" s="56"/>
      <c r="AA31" s="25">
        <f t="shared" si="7"/>
        <v>2000000</v>
      </c>
      <c r="AB31" s="56"/>
    </row>
    <row r="32" spans="2:28" x14ac:dyDescent="0.3">
      <c r="B32" s="56" t="s">
        <v>253</v>
      </c>
      <c r="C32" s="25">
        <v>7000000</v>
      </c>
      <c r="D32" s="25">
        <v>500000</v>
      </c>
      <c r="E32" s="56"/>
      <c r="F32" s="56"/>
      <c r="G32" s="56"/>
      <c r="H32" s="25">
        <v>7500000</v>
      </c>
      <c r="I32" s="25">
        <f t="shared" si="1"/>
        <v>500000</v>
      </c>
      <c r="J32" s="185">
        <f t="shared" si="2"/>
        <v>0</v>
      </c>
      <c r="K32" s="185"/>
      <c r="L32" s="185"/>
      <c r="M32" s="185"/>
      <c r="N32" s="185"/>
      <c r="O32" s="185"/>
      <c r="P32" s="185"/>
      <c r="Q32" s="3"/>
      <c r="R32" s="3"/>
      <c r="S32" s="3"/>
      <c r="T32" s="3"/>
      <c r="U32" s="3"/>
      <c r="W32" s="56"/>
      <c r="X32" s="56"/>
      <c r="Y32" s="56"/>
      <c r="Z32" s="56"/>
      <c r="AA32" s="25">
        <f t="shared" si="7"/>
        <v>500000</v>
      </c>
      <c r="AB32" s="56"/>
    </row>
    <row r="33" spans="2:28" x14ac:dyDescent="0.3">
      <c r="B33" s="56" t="s">
        <v>254</v>
      </c>
      <c r="C33" s="25">
        <v>10000000</v>
      </c>
      <c r="D33" s="25">
        <v>5000000</v>
      </c>
      <c r="E33" s="25">
        <v>5000000</v>
      </c>
      <c r="F33" s="25">
        <v>5000000</v>
      </c>
      <c r="G33" s="25">
        <v>5000000</v>
      </c>
      <c r="H33" s="25">
        <v>30000000</v>
      </c>
      <c r="I33" s="25">
        <f t="shared" si="1"/>
        <v>20000000</v>
      </c>
      <c r="J33" s="185">
        <f t="shared" si="2"/>
        <v>15000000</v>
      </c>
      <c r="K33" s="185"/>
      <c r="L33" s="185"/>
      <c r="M33" s="185"/>
      <c r="N33" s="185"/>
      <c r="O33" s="185">
        <f t="shared" ref="M33:R39" si="8">$J33</f>
        <v>15000000</v>
      </c>
      <c r="P33" s="185"/>
      <c r="Q33" s="3"/>
      <c r="R33" s="3"/>
      <c r="S33" s="3"/>
      <c r="T33" s="3"/>
      <c r="U33" s="3"/>
      <c r="W33" s="56"/>
      <c r="X33" s="56"/>
      <c r="Y33" s="56"/>
      <c r="Z33" s="56"/>
      <c r="AA33" s="56"/>
      <c r="AB33" s="25">
        <f t="shared" ref="AB33:AB39" si="9">SUM($D33:$G33)</f>
        <v>20000000</v>
      </c>
    </row>
    <row r="34" spans="2:28" x14ac:dyDescent="0.3">
      <c r="B34" s="56" t="s">
        <v>255</v>
      </c>
      <c r="C34" s="25">
        <v>154725275</v>
      </c>
      <c r="D34" s="25">
        <v>29936974</v>
      </c>
      <c r="E34" s="25">
        <v>14300560</v>
      </c>
      <c r="F34" s="25">
        <v>14300560</v>
      </c>
      <c r="G34" s="25">
        <v>16000000</v>
      </c>
      <c r="H34" s="25">
        <v>229263369</v>
      </c>
      <c r="I34" s="25">
        <f t="shared" si="1"/>
        <v>74538094</v>
      </c>
      <c r="J34" s="185">
        <f t="shared" si="2"/>
        <v>44601120</v>
      </c>
      <c r="K34" s="185"/>
      <c r="L34" s="185"/>
      <c r="M34" s="185"/>
      <c r="N34" s="185"/>
      <c r="O34" s="185">
        <f t="shared" si="8"/>
        <v>44601120</v>
      </c>
      <c r="P34" s="185"/>
      <c r="Q34" s="3"/>
      <c r="R34" s="3"/>
      <c r="S34" s="3"/>
      <c r="T34" s="3"/>
      <c r="U34" s="3"/>
      <c r="W34" s="56"/>
      <c r="X34" s="56"/>
      <c r="Y34" s="56"/>
      <c r="Z34" s="56"/>
      <c r="AA34" s="56"/>
      <c r="AB34" s="25">
        <f t="shared" si="9"/>
        <v>74538094</v>
      </c>
    </row>
    <row r="35" spans="2:28" x14ac:dyDescent="0.3">
      <c r="B35" s="56" t="s">
        <v>256</v>
      </c>
      <c r="C35" s="25">
        <v>164226804</v>
      </c>
      <c r="D35" s="25">
        <v>22000000</v>
      </c>
      <c r="E35" s="25">
        <v>22000000</v>
      </c>
      <c r="F35" s="25">
        <v>22000000</v>
      </c>
      <c r="G35" s="25">
        <v>19773196</v>
      </c>
      <c r="H35" s="25">
        <v>250000000</v>
      </c>
      <c r="I35" s="25">
        <f t="shared" si="1"/>
        <v>85773196</v>
      </c>
      <c r="J35" s="185">
        <f t="shared" si="2"/>
        <v>63773196</v>
      </c>
      <c r="K35" s="185"/>
      <c r="L35" s="185"/>
      <c r="M35" s="185">
        <f t="shared" si="8"/>
        <v>63773196</v>
      </c>
      <c r="N35" s="185"/>
      <c r="O35" s="185"/>
      <c r="P35" s="185"/>
      <c r="Q35" s="3"/>
      <c r="R35" s="3"/>
      <c r="S35" s="3"/>
      <c r="T35" s="3"/>
      <c r="U35" s="3"/>
      <c r="W35" s="56"/>
      <c r="X35" s="56"/>
      <c r="Y35" s="56"/>
      <c r="Z35" s="56"/>
      <c r="AA35" s="56"/>
      <c r="AB35" s="25">
        <f t="shared" si="9"/>
        <v>85773196</v>
      </c>
    </row>
    <row r="36" spans="2:28" x14ac:dyDescent="0.3">
      <c r="B36" s="56" t="s">
        <v>257</v>
      </c>
      <c r="C36" s="25">
        <v>9155429</v>
      </c>
      <c r="D36" s="25">
        <v>1000000</v>
      </c>
      <c r="E36" s="25">
        <v>2000000</v>
      </c>
      <c r="F36" s="25">
        <v>2000000</v>
      </c>
      <c r="G36" s="25">
        <v>2000000</v>
      </c>
      <c r="H36" s="25">
        <v>16155429</v>
      </c>
      <c r="I36" s="25">
        <f>SUM(D36:G36)</f>
        <v>7000000</v>
      </c>
      <c r="J36" s="185">
        <f>SUM(E36:G36)</f>
        <v>6000000</v>
      </c>
      <c r="K36" s="185"/>
      <c r="L36" s="185"/>
      <c r="M36" s="185"/>
      <c r="N36" s="185"/>
      <c r="O36" s="185"/>
      <c r="P36" s="185">
        <f>$J36</f>
        <v>6000000</v>
      </c>
      <c r="Q36" s="3"/>
      <c r="R36" s="3"/>
      <c r="S36" s="3"/>
      <c r="T36" s="3"/>
      <c r="U36" s="3"/>
      <c r="W36" s="56"/>
      <c r="X36" s="56"/>
      <c r="Y36" s="56"/>
      <c r="Z36" s="56"/>
      <c r="AA36" s="56"/>
      <c r="AB36" s="25">
        <f>SUM($D36:$G36)</f>
        <v>7000000</v>
      </c>
    </row>
    <row r="37" spans="2:28" x14ac:dyDescent="0.3">
      <c r="B37" s="56" t="s">
        <v>258</v>
      </c>
      <c r="C37" s="25">
        <v>47096359</v>
      </c>
      <c r="D37" s="25">
        <v>12800000</v>
      </c>
      <c r="E37" s="25">
        <v>16500000</v>
      </c>
      <c r="F37" s="25">
        <v>16500000</v>
      </c>
      <c r="G37" s="25">
        <v>16500000</v>
      </c>
      <c r="H37" s="25">
        <v>109396359</v>
      </c>
      <c r="I37" s="25">
        <f t="shared" si="1"/>
        <v>62300000</v>
      </c>
      <c r="J37" s="185">
        <f t="shared" si="2"/>
        <v>49500000</v>
      </c>
      <c r="K37" s="185"/>
      <c r="L37" s="185"/>
      <c r="M37" s="185"/>
      <c r="N37" s="185"/>
      <c r="O37" s="185"/>
      <c r="P37" s="185">
        <f t="shared" si="8"/>
        <v>49500000</v>
      </c>
      <c r="Q37" s="3"/>
      <c r="R37" s="3"/>
      <c r="S37" s="3"/>
      <c r="T37" s="3"/>
      <c r="U37" s="3"/>
      <c r="W37" s="56"/>
      <c r="X37" s="56"/>
      <c r="Y37" s="56"/>
      <c r="Z37" s="56"/>
      <c r="AA37" s="56"/>
      <c r="AB37" s="25">
        <f t="shared" si="9"/>
        <v>62300000</v>
      </c>
    </row>
    <row r="38" spans="2:28" x14ac:dyDescent="0.3">
      <c r="B38" s="56" t="s">
        <v>259</v>
      </c>
      <c r="C38" s="25">
        <v>10008667</v>
      </c>
      <c r="D38" s="25">
        <v>825000</v>
      </c>
      <c r="E38" s="25">
        <v>825000</v>
      </c>
      <c r="F38" s="25">
        <v>825000</v>
      </c>
      <c r="G38" s="25">
        <v>825000</v>
      </c>
      <c r="H38" s="25">
        <v>13308667</v>
      </c>
      <c r="I38" s="25">
        <f t="shared" si="1"/>
        <v>3300000</v>
      </c>
      <c r="J38" s="185">
        <f t="shared" si="2"/>
        <v>2475000</v>
      </c>
      <c r="K38" s="185"/>
      <c r="L38" s="185"/>
      <c r="M38" s="185"/>
      <c r="N38" s="185"/>
      <c r="O38" s="185"/>
      <c r="P38" s="185">
        <f t="shared" si="8"/>
        <v>2475000</v>
      </c>
      <c r="Q38" s="3"/>
      <c r="R38" s="3"/>
      <c r="S38" s="3"/>
      <c r="T38" s="3"/>
      <c r="U38" s="3"/>
      <c r="W38" s="56"/>
      <c r="X38" s="56"/>
      <c r="Y38" s="56"/>
      <c r="Z38" s="56"/>
      <c r="AA38" s="56"/>
      <c r="AB38" s="25">
        <f t="shared" si="9"/>
        <v>3300000</v>
      </c>
    </row>
    <row r="39" spans="2:28" x14ac:dyDescent="0.3">
      <c r="B39" s="56" t="s">
        <v>260</v>
      </c>
      <c r="C39" s="25">
        <v>15289657</v>
      </c>
      <c r="D39" s="25">
        <v>2700440</v>
      </c>
      <c r="E39" s="25">
        <v>2375184</v>
      </c>
      <c r="F39" s="25">
        <v>2270846</v>
      </c>
      <c r="G39" s="25">
        <v>2303713</v>
      </c>
      <c r="H39" s="25">
        <v>24939840</v>
      </c>
      <c r="I39" s="25">
        <f t="shared" si="1"/>
        <v>9650183</v>
      </c>
      <c r="J39" s="185">
        <f t="shared" si="2"/>
        <v>6949743</v>
      </c>
      <c r="K39" s="185"/>
      <c r="L39" s="185"/>
      <c r="M39" s="185"/>
      <c r="N39" s="185"/>
      <c r="O39" s="185"/>
      <c r="P39" s="185">
        <f t="shared" si="8"/>
        <v>6949743</v>
      </c>
      <c r="Q39" s="3"/>
      <c r="R39" s="3"/>
      <c r="S39" s="3"/>
      <c r="T39" s="3"/>
      <c r="U39" s="3"/>
      <c r="W39" s="56"/>
      <c r="X39" s="56"/>
      <c r="Y39" s="56"/>
      <c r="Z39" s="56"/>
      <c r="AA39" s="56"/>
      <c r="AB39" s="25">
        <f t="shared" si="9"/>
        <v>9650183</v>
      </c>
    </row>
    <row r="40" spans="2:28" x14ac:dyDescent="0.3">
      <c r="B40" s="122" t="s">
        <v>146</v>
      </c>
      <c r="J40" s="185">
        <f t="shared" ref="J40:P40" si="10">SUM(J7:J39)</f>
        <v>889319059</v>
      </c>
      <c r="K40" s="185">
        <f t="shared" si="10"/>
        <v>54820000</v>
      </c>
      <c r="L40" s="185">
        <f t="shared" si="10"/>
        <v>120900000</v>
      </c>
      <c r="M40" s="185">
        <f t="shared" si="10"/>
        <v>227773196</v>
      </c>
      <c r="N40" s="185">
        <f t="shared" si="10"/>
        <v>237500000</v>
      </c>
      <c r="O40" s="185">
        <f t="shared" si="10"/>
        <v>183401120</v>
      </c>
      <c r="P40" s="185">
        <f t="shared" si="10"/>
        <v>64924743</v>
      </c>
      <c r="Q40" s="3"/>
      <c r="R40" s="185">
        <f>SUM(R7:R39)</f>
        <v>168000000</v>
      </c>
    </row>
    <row r="41" spans="2:28" x14ac:dyDescent="0.3">
      <c r="B41" s="122" t="s">
        <v>261</v>
      </c>
      <c r="J41" s="56"/>
      <c r="K41" s="186">
        <f>K40/$J40</f>
        <v>6.1642668562217333E-2</v>
      </c>
      <c r="L41" s="186">
        <f t="shared" ref="L41:R41" si="11">L40/$J40</f>
        <v>0.13594670976235088</v>
      </c>
      <c r="M41" s="186">
        <f t="shared" si="11"/>
        <v>0.2561208980004554</v>
      </c>
      <c r="N41" s="186">
        <f t="shared" si="11"/>
        <v>0.26705825945871242</v>
      </c>
      <c r="O41" s="186">
        <f t="shared" si="11"/>
        <v>0.2062264584841198</v>
      </c>
      <c r="P41" s="186">
        <f t="shared" si="11"/>
        <v>7.3005005732144107E-2</v>
      </c>
      <c r="Q41" s="3"/>
      <c r="R41" s="186">
        <f t="shared" si="11"/>
        <v>0.18890857932237343</v>
      </c>
    </row>
    <row r="42" spans="2:28" x14ac:dyDescent="0.3">
      <c r="Q42" s="3"/>
    </row>
    <row r="43" spans="2:28" x14ac:dyDescent="0.3">
      <c r="Q43" s="3"/>
    </row>
    <row r="45" spans="2:28" x14ac:dyDescent="0.3">
      <c r="M45" s="187">
        <f>K41+L41+M41</f>
        <v>0.45371027632502359</v>
      </c>
      <c r="P45" s="187">
        <f>O41+P41</f>
        <v>0.27923146421626388</v>
      </c>
    </row>
  </sheetData>
  <mergeCells count="5">
    <mergeCell ref="W2:X2"/>
    <mergeCell ref="Y2:Z2"/>
    <mergeCell ref="AA2:AB2"/>
    <mergeCell ref="K4:P4"/>
    <mergeCell ref="W5:A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B1FD-3AF4-44DD-8DF0-92FF96ED1CFE}">
  <dimension ref="A1"/>
  <sheetViews>
    <sheetView topLeftCell="A48" workbookViewId="0">
      <selection activeCell="S71" sqref="S7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9F44-36B4-4C3B-B9A1-F67EAF77923C}">
  <dimension ref="A1:AC26"/>
  <sheetViews>
    <sheetView topLeftCell="A4" workbookViewId="0"/>
  </sheetViews>
  <sheetFormatPr defaultRowHeight="14.4" x14ac:dyDescent="0.3"/>
  <cols>
    <col min="1" max="1" width="5" style="9" bestFit="1" customWidth="1"/>
    <col min="2" max="2" width="5.5546875" bestFit="1" customWidth="1"/>
    <col min="3" max="3" width="10.6640625" bestFit="1" customWidth="1"/>
    <col min="4" max="4" width="5.5546875" bestFit="1" customWidth="1"/>
    <col min="5" max="5" width="6.109375" bestFit="1" customWidth="1"/>
    <col min="6" max="6" width="7.44140625" bestFit="1" customWidth="1"/>
    <col min="7" max="7" width="11" bestFit="1" customWidth="1"/>
    <col min="8" max="8" width="5.44140625" bestFit="1" customWidth="1"/>
    <col min="9" max="9" width="5.21875" bestFit="1" customWidth="1"/>
    <col min="10" max="10" width="5.77734375" bestFit="1" customWidth="1"/>
    <col min="11" max="11" width="7" bestFit="1" customWidth="1"/>
    <col min="13" max="13" width="5.5546875" bestFit="1" customWidth="1"/>
    <col min="14" max="14" width="10.6640625" bestFit="1" customWidth="1"/>
    <col min="15" max="15" width="5.5546875" bestFit="1" customWidth="1"/>
    <col min="16" max="16" width="5.77734375" bestFit="1" customWidth="1"/>
    <col min="18" max="20" width="10.88671875" bestFit="1" customWidth="1"/>
  </cols>
  <sheetData>
    <row r="1" spans="1:29" x14ac:dyDescent="0.3">
      <c r="A1" s="9" t="s">
        <v>67</v>
      </c>
      <c r="F1" s="71" t="s">
        <v>68</v>
      </c>
    </row>
    <row r="2" spans="1:29" x14ac:dyDescent="0.3">
      <c r="F2" s="71"/>
    </row>
    <row r="3" spans="1:29" ht="15.6" x14ac:dyDescent="0.3">
      <c r="A3" s="44" t="s">
        <v>30</v>
      </c>
      <c r="M3" s="148" t="s">
        <v>36</v>
      </c>
      <c r="N3" s="149"/>
      <c r="O3" s="149"/>
      <c r="P3" s="150"/>
    </row>
    <row r="4" spans="1:29" s="9" customFormat="1" x14ac:dyDescent="0.3">
      <c r="A4" s="7"/>
      <c r="B4" s="46" t="s">
        <v>26</v>
      </c>
      <c r="C4" s="46" t="s">
        <v>28</v>
      </c>
      <c r="D4" s="46" t="s">
        <v>27</v>
      </c>
      <c r="E4" s="46" t="s">
        <v>31</v>
      </c>
      <c r="F4" s="46" t="s">
        <v>32</v>
      </c>
      <c r="G4" s="46" t="s">
        <v>33</v>
      </c>
      <c r="H4" s="46" t="s">
        <v>34</v>
      </c>
      <c r="I4" s="46" t="s">
        <v>35</v>
      </c>
      <c r="J4" s="46" t="s">
        <v>29</v>
      </c>
      <c r="K4" s="46" t="s">
        <v>10</v>
      </c>
      <c r="L4" s="45"/>
      <c r="M4" s="5" t="s">
        <v>26</v>
      </c>
      <c r="N4" s="5" t="s">
        <v>28</v>
      </c>
      <c r="O4" s="5" t="s">
        <v>27</v>
      </c>
      <c r="P4" s="51" t="s">
        <v>29</v>
      </c>
      <c r="Q4" s="45"/>
      <c r="R4"/>
      <c r="S4"/>
      <c r="T4"/>
      <c r="U4"/>
      <c r="V4" s="45"/>
      <c r="W4" s="45"/>
      <c r="X4" s="45"/>
      <c r="Y4" s="45"/>
      <c r="Z4" s="45"/>
      <c r="AA4" s="45"/>
      <c r="AB4" s="45"/>
      <c r="AC4" s="45"/>
    </row>
    <row r="5" spans="1:29" x14ac:dyDescent="0.3">
      <c r="A5" s="7">
        <v>2000</v>
      </c>
      <c r="B5" s="49">
        <v>254.78399999999999</v>
      </c>
      <c r="C5" s="49">
        <v>380.101</v>
      </c>
      <c r="D5" s="49">
        <v>158.572</v>
      </c>
      <c r="E5" s="49">
        <v>18.209674911123464</v>
      </c>
      <c r="F5" s="49">
        <v>328.59699999999998</v>
      </c>
      <c r="G5" s="49">
        <v>155.35518445412404</v>
      </c>
      <c r="H5" s="49">
        <v>0.106</v>
      </c>
      <c r="I5" s="49">
        <v>0</v>
      </c>
      <c r="J5" s="49">
        <v>29.104060470546383</v>
      </c>
      <c r="K5" s="49">
        <v>1570.9467756660833</v>
      </c>
      <c r="L5" s="47"/>
      <c r="M5" s="49">
        <v>250.03530260199997</v>
      </c>
      <c r="N5" s="49">
        <v>286.44214979200007</v>
      </c>
      <c r="O5" s="49">
        <v>120.336119825</v>
      </c>
      <c r="P5" s="49">
        <v>0</v>
      </c>
      <c r="Q5" s="48"/>
      <c r="V5" s="48"/>
      <c r="W5" s="48"/>
      <c r="X5" s="48"/>
      <c r="Y5" s="48"/>
      <c r="Z5" s="48"/>
      <c r="AA5" s="48"/>
      <c r="AB5" s="48"/>
      <c r="AC5" s="48"/>
    </row>
    <row r="6" spans="1:29" x14ac:dyDescent="0.3">
      <c r="A6" s="7">
        <v>2001</v>
      </c>
      <c r="B6" s="49">
        <v>241.066</v>
      </c>
      <c r="C6" s="49">
        <v>364.13600000000002</v>
      </c>
      <c r="D6" s="49">
        <v>175.83699999999999</v>
      </c>
      <c r="E6" s="49">
        <v>16.391177404140805</v>
      </c>
      <c r="F6" s="49">
        <v>421.84500000000003</v>
      </c>
      <c r="G6" s="49">
        <v>73.438702630873024</v>
      </c>
      <c r="H6" s="49">
        <v>0.21199999999999999</v>
      </c>
      <c r="I6" s="49">
        <v>0</v>
      </c>
      <c r="J6" s="49">
        <v>23.652095125783013</v>
      </c>
      <c r="K6" s="49">
        <v>1527.9710350079572</v>
      </c>
      <c r="L6" s="48"/>
      <c r="M6" s="49">
        <v>230.00844944400001</v>
      </c>
      <c r="N6" s="49">
        <v>283.38003688099997</v>
      </c>
      <c r="O6" s="49">
        <v>146.44691363199999</v>
      </c>
      <c r="P6" s="49">
        <v>0</v>
      </c>
      <c r="Q6" s="48"/>
      <c r="V6" s="48"/>
      <c r="W6" s="48"/>
      <c r="X6" s="48"/>
      <c r="Y6" s="48"/>
      <c r="Z6" s="48"/>
      <c r="AA6" s="48"/>
      <c r="AB6" s="48"/>
      <c r="AC6" s="48"/>
    </row>
    <row r="7" spans="1:29" x14ac:dyDescent="0.3">
      <c r="A7" s="7">
        <v>2002</v>
      </c>
      <c r="B7" s="49">
        <v>234.28</v>
      </c>
      <c r="C7" s="49">
        <v>372.54</v>
      </c>
      <c r="D7" s="49">
        <v>122.765</v>
      </c>
      <c r="E7" s="49">
        <v>15.396677504425115</v>
      </c>
      <c r="F7" s="49">
        <v>413.68599999999998</v>
      </c>
      <c r="G7" s="49">
        <v>117.76356033731894</v>
      </c>
      <c r="H7" s="49">
        <v>0.83</v>
      </c>
      <c r="I7" s="49">
        <v>0</v>
      </c>
      <c r="J7" s="49">
        <v>21.945795168705875</v>
      </c>
      <c r="K7" s="49">
        <v>1535.8984925600507</v>
      </c>
      <c r="L7" s="48"/>
      <c r="M7" s="49">
        <v>235.95008200999996</v>
      </c>
      <c r="N7" s="49">
        <v>256.97660916799998</v>
      </c>
      <c r="O7" s="49">
        <v>159.48659845099999</v>
      </c>
      <c r="P7" s="49">
        <v>0</v>
      </c>
      <c r="Q7" s="48"/>
      <c r="V7" s="48"/>
      <c r="W7" s="48"/>
      <c r="X7" s="48"/>
      <c r="Y7" s="48"/>
      <c r="Z7" s="48"/>
      <c r="AA7" s="48"/>
      <c r="AB7" s="48"/>
      <c r="AC7" s="48"/>
    </row>
    <row r="8" spans="1:29" x14ac:dyDescent="0.3">
      <c r="A8" s="7">
        <v>2003</v>
      </c>
      <c r="B8" s="49">
        <v>242.113</v>
      </c>
      <c r="C8" s="49">
        <v>267.12099999999998</v>
      </c>
      <c r="D8" s="49">
        <v>201.453</v>
      </c>
      <c r="E8" s="49">
        <v>15.057581770313398</v>
      </c>
      <c r="F8" s="49">
        <v>423.959</v>
      </c>
      <c r="G8" s="49">
        <v>136.08485907586797</v>
      </c>
      <c r="H8" s="49">
        <v>0.41699999999999998</v>
      </c>
      <c r="I8" s="49">
        <v>0</v>
      </c>
      <c r="J8" s="49">
        <v>21.786645653841259</v>
      </c>
      <c r="K8" s="49">
        <v>1537.0925779607244</v>
      </c>
      <c r="L8" s="48"/>
      <c r="M8" s="49">
        <v>239.72507575899994</v>
      </c>
      <c r="N8" s="49">
        <v>265.68463911200001</v>
      </c>
      <c r="O8" s="49">
        <v>141.79898608099998</v>
      </c>
      <c r="P8" s="49">
        <v>0</v>
      </c>
      <c r="Q8" s="48"/>
      <c r="V8" s="48"/>
      <c r="W8" s="48"/>
      <c r="X8" s="48"/>
      <c r="Y8" s="48"/>
      <c r="Z8" s="48"/>
      <c r="AA8" s="48"/>
      <c r="AB8" s="48"/>
      <c r="AC8" s="48"/>
    </row>
    <row r="9" spans="1:29" x14ac:dyDescent="0.3">
      <c r="A9" s="7">
        <v>2004</v>
      </c>
      <c r="B9" s="49">
        <v>233.566</v>
      </c>
      <c r="C9" s="49">
        <v>264.24</v>
      </c>
      <c r="D9" s="49">
        <v>218.79</v>
      </c>
      <c r="E9" s="49">
        <v>13.254546262993628</v>
      </c>
      <c r="F9" s="49">
        <v>423.79700000000003</v>
      </c>
      <c r="G9" s="49">
        <v>119.86483718461876</v>
      </c>
      <c r="H9" s="49">
        <v>1.1659999999999999</v>
      </c>
      <c r="I9" s="49">
        <v>0</v>
      </c>
      <c r="J9" s="49">
        <v>21.679843781018697</v>
      </c>
      <c r="K9" s="49">
        <v>1548.1287100438049</v>
      </c>
      <c r="L9" s="48"/>
      <c r="M9" s="49">
        <v>230.66172593200011</v>
      </c>
      <c r="N9" s="49">
        <v>261.13689674</v>
      </c>
      <c r="O9" s="49">
        <v>187.92393588099998</v>
      </c>
      <c r="P9" s="49">
        <v>0</v>
      </c>
      <c r="Q9" s="48"/>
      <c r="V9" s="48"/>
      <c r="W9" s="48"/>
      <c r="X9" s="48"/>
      <c r="Y9" s="48"/>
      <c r="Z9" s="48"/>
      <c r="AA9" s="48"/>
      <c r="AB9" s="48"/>
      <c r="AC9" s="48"/>
    </row>
    <row r="10" spans="1:29" x14ac:dyDescent="0.3">
      <c r="A10" s="7">
        <v>2005</v>
      </c>
      <c r="B10" s="49">
        <v>213.02699999999999</v>
      </c>
      <c r="C10" s="49">
        <v>310.58699999999999</v>
      </c>
      <c r="D10" s="49">
        <v>242.50899999999999</v>
      </c>
      <c r="E10" s="49">
        <v>13.075527629714912</v>
      </c>
      <c r="F10" s="49">
        <v>442.93700000000001</v>
      </c>
      <c r="G10" s="49">
        <v>136.30968268274606</v>
      </c>
      <c r="H10" s="49">
        <v>1.03</v>
      </c>
      <c r="I10" s="49">
        <v>0</v>
      </c>
      <c r="J10" s="49">
        <v>23.524571464338429</v>
      </c>
      <c r="K10" s="49">
        <v>1631.4632524142539</v>
      </c>
      <c r="L10" s="48"/>
      <c r="M10" s="49">
        <v>217.71176163299995</v>
      </c>
      <c r="N10" s="49">
        <v>266.17609090600001</v>
      </c>
      <c r="O10" s="49">
        <v>214.76297155000006</v>
      </c>
      <c r="P10" s="49">
        <v>0</v>
      </c>
      <c r="Q10" s="48"/>
      <c r="V10" s="48"/>
      <c r="W10" s="48"/>
      <c r="X10" s="48"/>
      <c r="Y10" s="48"/>
      <c r="Z10" s="48"/>
      <c r="AA10" s="48"/>
      <c r="AB10" s="48"/>
      <c r="AC10" s="48"/>
    </row>
    <row r="11" spans="1:29" x14ac:dyDescent="0.3">
      <c r="A11" s="7">
        <v>2006</v>
      </c>
      <c r="B11" s="49">
        <v>215.80099999999999</v>
      </c>
      <c r="C11" s="49">
        <v>395.505</v>
      </c>
      <c r="D11" s="49">
        <v>69.850999999999999</v>
      </c>
      <c r="E11" s="49">
        <v>12.275650618258711</v>
      </c>
      <c r="F11" s="49">
        <v>440.60599999999999</v>
      </c>
      <c r="G11" s="49">
        <v>156.65529259101433</v>
      </c>
      <c r="H11" s="49">
        <v>6.5010000000000003</v>
      </c>
      <c r="I11" s="49">
        <v>0</v>
      </c>
      <c r="J11" s="49">
        <v>23.278825257795482</v>
      </c>
      <c r="K11" s="49">
        <v>1574.1268845196553</v>
      </c>
      <c r="L11" s="48"/>
      <c r="M11" s="49">
        <v>216.11854320599994</v>
      </c>
      <c r="N11" s="49">
        <v>153.93082864900001</v>
      </c>
      <c r="O11" s="49">
        <v>252.86714249100001</v>
      </c>
      <c r="P11" s="49">
        <v>0</v>
      </c>
      <c r="Q11" s="48"/>
      <c r="V11" s="48"/>
      <c r="W11" s="48"/>
      <c r="X11" s="48"/>
      <c r="Y11" s="48"/>
      <c r="Z11" s="48"/>
      <c r="AA11" s="48"/>
      <c r="AB11" s="48"/>
      <c r="AC11" s="48"/>
    </row>
    <row r="12" spans="1:29" x14ac:dyDescent="0.3">
      <c r="A12" s="7">
        <v>2007</v>
      </c>
      <c r="B12" s="49">
        <v>220.58500000000001</v>
      </c>
      <c r="C12" s="49">
        <v>416.89</v>
      </c>
      <c r="D12" s="49">
        <v>84.504000000000005</v>
      </c>
      <c r="E12" s="49">
        <v>12.724562736814029</v>
      </c>
      <c r="F12" s="49">
        <v>445.28800000000001</v>
      </c>
      <c r="G12" s="49">
        <v>175.20076564823353</v>
      </c>
      <c r="H12" s="49">
        <v>8.2379999999999995</v>
      </c>
      <c r="I12" s="49">
        <v>0</v>
      </c>
      <c r="J12" s="49">
        <v>23.678993293925593</v>
      </c>
      <c r="K12" s="49">
        <v>1611.239565835645</v>
      </c>
      <c r="L12" s="48"/>
      <c r="M12" s="49">
        <v>213.36224030000002</v>
      </c>
      <c r="N12" s="49">
        <v>154.162341255</v>
      </c>
      <c r="O12" s="49">
        <v>286.37165550699996</v>
      </c>
      <c r="P12" s="49">
        <v>0</v>
      </c>
      <c r="Q12" s="48"/>
      <c r="V12" s="48"/>
      <c r="W12" s="48"/>
      <c r="X12" s="48"/>
      <c r="Y12" s="48"/>
      <c r="Z12" s="48"/>
      <c r="AA12" s="48"/>
      <c r="AB12" s="48"/>
      <c r="AC12" s="48"/>
    </row>
    <row r="13" spans="1:29" x14ac:dyDescent="0.3">
      <c r="A13" s="7">
        <v>2008</v>
      </c>
      <c r="B13" s="49">
        <v>195.649</v>
      </c>
      <c r="C13" s="49">
        <v>407.25299999999999</v>
      </c>
      <c r="D13" s="49">
        <v>37.774999999999999</v>
      </c>
      <c r="E13" s="49">
        <v>16.352043168670214</v>
      </c>
      <c r="F13" s="49">
        <v>451.62200000000001</v>
      </c>
      <c r="G13" s="49">
        <v>213.25023589368129</v>
      </c>
      <c r="H13" s="49">
        <v>12.324</v>
      </c>
      <c r="I13" s="49">
        <v>0</v>
      </c>
      <c r="J13" s="49">
        <v>27.369118063316179</v>
      </c>
      <c r="K13" s="49">
        <v>1596.4700294774443</v>
      </c>
      <c r="L13" s="48"/>
      <c r="M13" s="49">
        <v>193.23577340099999</v>
      </c>
      <c r="N13" s="49">
        <v>133.28548904299998</v>
      </c>
      <c r="O13" s="49">
        <v>302.15319568400008</v>
      </c>
      <c r="P13" s="49">
        <v>4.0807738240000004</v>
      </c>
      <c r="Q13" s="48"/>
      <c r="V13" s="48"/>
      <c r="W13" s="48"/>
      <c r="X13" s="48"/>
      <c r="Y13" s="48"/>
      <c r="Z13" s="48"/>
      <c r="AA13" s="48"/>
      <c r="AB13" s="48"/>
      <c r="AC13" s="48"/>
    </row>
    <row r="14" spans="1:29" x14ac:dyDescent="0.3">
      <c r="A14" s="7">
        <v>2009</v>
      </c>
      <c r="B14" s="49">
        <v>131.84</v>
      </c>
      <c r="C14" s="49">
        <v>375.59399999999999</v>
      </c>
      <c r="D14" s="49">
        <v>26.463999999999999</v>
      </c>
      <c r="E14" s="49">
        <v>13.800909392158292</v>
      </c>
      <c r="F14" s="49">
        <v>454.80599999999998</v>
      </c>
      <c r="G14" s="49">
        <v>211.41305363483175</v>
      </c>
      <c r="H14" s="49">
        <v>22.119</v>
      </c>
      <c r="I14" s="49">
        <v>0</v>
      </c>
      <c r="J14" s="49">
        <v>26.135754966920096</v>
      </c>
      <c r="K14" s="49">
        <v>1501.2678171026457</v>
      </c>
      <c r="L14" s="48"/>
      <c r="M14" s="49">
        <v>131.77935702899998</v>
      </c>
      <c r="N14" s="49">
        <v>98.471943374999981</v>
      </c>
      <c r="O14" s="49">
        <v>302.52991341399996</v>
      </c>
      <c r="P14" s="49">
        <v>1.896538566</v>
      </c>
      <c r="Q14" s="48"/>
      <c r="V14" s="48"/>
      <c r="W14" s="48"/>
      <c r="X14" s="48"/>
      <c r="Y14" s="48"/>
      <c r="Z14" s="48"/>
      <c r="AA14" s="48"/>
      <c r="AB14" s="48"/>
      <c r="AC14" s="48"/>
    </row>
    <row r="15" spans="1:29" x14ac:dyDescent="0.3">
      <c r="A15" s="7">
        <v>2010</v>
      </c>
      <c r="B15" s="49">
        <v>141.57300000000001</v>
      </c>
      <c r="C15" s="49">
        <v>433.70299999999997</v>
      </c>
      <c r="D15" s="49">
        <v>20.157</v>
      </c>
      <c r="E15" s="49">
        <v>7.9830205325390304</v>
      </c>
      <c r="F15" s="49">
        <v>437.62</v>
      </c>
      <c r="G15" s="49">
        <v>223.70756500425341</v>
      </c>
      <c r="H15" s="49">
        <v>25.327999999999999</v>
      </c>
      <c r="I15" s="49">
        <v>0</v>
      </c>
      <c r="J15" s="49">
        <v>26.185025728778186</v>
      </c>
      <c r="K15" s="49">
        <v>1533.6928983014536</v>
      </c>
      <c r="L15" s="48"/>
      <c r="M15" s="49">
        <v>144.62983399299998</v>
      </c>
      <c r="N15" s="49">
        <v>106.83421772699998</v>
      </c>
      <c r="O15" s="49">
        <v>349.00900228499989</v>
      </c>
      <c r="P15" s="49">
        <v>0.85170571100000003</v>
      </c>
      <c r="Q15" s="48"/>
      <c r="V15" s="48"/>
      <c r="W15" s="48"/>
      <c r="X15" s="48"/>
      <c r="Y15" s="48"/>
      <c r="Z15" s="48"/>
      <c r="AA15" s="48"/>
      <c r="AB15" s="48"/>
      <c r="AC15" s="48"/>
    </row>
    <row r="16" spans="1:29" x14ac:dyDescent="0.3">
      <c r="A16" s="7">
        <v>2011</v>
      </c>
      <c r="B16" s="49">
        <v>99.186000000000007</v>
      </c>
      <c r="C16" s="49">
        <v>443.56900000000002</v>
      </c>
      <c r="D16" s="49">
        <v>11.042</v>
      </c>
      <c r="E16" s="49">
        <v>6.371254844025497</v>
      </c>
      <c r="F16" s="49">
        <v>446.76100000000002</v>
      </c>
      <c r="G16" s="49">
        <v>220.00902586476195</v>
      </c>
      <c r="H16" s="49">
        <v>27.478000000000002</v>
      </c>
      <c r="I16" s="49">
        <v>6.3E-2</v>
      </c>
      <c r="J16" s="49">
        <v>24.961829612604731</v>
      </c>
      <c r="K16" s="49">
        <v>1523.7758981062082</v>
      </c>
      <c r="L16" s="48"/>
      <c r="M16" s="49">
        <v>100.54299377600002</v>
      </c>
      <c r="N16" s="49">
        <v>67.070015925999996</v>
      </c>
      <c r="O16" s="49">
        <v>383.55612784100009</v>
      </c>
      <c r="P16" s="49">
        <v>0</v>
      </c>
      <c r="Q16" s="48"/>
      <c r="V16" s="48"/>
      <c r="W16" s="48"/>
      <c r="X16" s="48"/>
      <c r="Y16" s="48"/>
      <c r="Z16" s="48"/>
      <c r="AA16" s="48"/>
      <c r="AB16" s="48"/>
      <c r="AC16" s="48"/>
    </row>
    <row r="17" spans="1:29" x14ac:dyDescent="0.3">
      <c r="A17" s="7">
        <v>2012</v>
      </c>
      <c r="B17" s="49">
        <v>48.741999999999997</v>
      </c>
      <c r="C17" s="49">
        <v>513.64200000000005</v>
      </c>
      <c r="D17" s="49">
        <v>5.1479999999999997</v>
      </c>
      <c r="E17" s="49">
        <v>6.3571258096103147</v>
      </c>
      <c r="F17" s="49">
        <v>427.27699999999999</v>
      </c>
      <c r="G17" s="49">
        <v>221.99278388387881</v>
      </c>
      <c r="H17" s="49">
        <v>28.468</v>
      </c>
      <c r="I17" s="49">
        <v>0.502</v>
      </c>
      <c r="J17" s="49">
        <v>25.61901821606563</v>
      </c>
      <c r="K17" s="49">
        <v>1491.5285495715725</v>
      </c>
      <c r="L17" s="48"/>
      <c r="M17" s="49">
        <v>48.763330718999995</v>
      </c>
      <c r="N17" s="49">
        <v>70.980412846000021</v>
      </c>
      <c r="O17" s="49">
        <v>440.7057714579995</v>
      </c>
      <c r="P17" s="49">
        <v>1.7205149169999998</v>
      </c>
      <c r="Q17" s="48"/>
      <c r="V17" s="48"/>
      <c r="W17" s="48"/>
      <c r="X17" s="48"/>
      <c r="Y17" s="48"/>
      <c r="Z17" s="48"/>
      <c r="AA17" s="48"/>
      <c r="AB17" s="48"/>
      <c r="AC17" s="48"/>
    </row>
    <row r="18" spans="1:29" x14ac:dyDescent="0.3">
      <c r="A18" s="7">
        <v>2013</v>
      </c>
      <c r="B18" s="49">
        <v>47.152000000000001</v>
      </c>
      <c r="C18" s="49">
        <v>469.49299999999999</v>
      </c>
      <c r="D18" s="49">
        <v>8.4450000000000003</v>
      </c>
      <c r="E18" s="49">
        <v>6.5185419130184572</v>
      </c>
      <c r="F18" s="49">
        <v>467.65100000000001</v>
      </c>
      <c r="G18" s="49">
        <v>220.53056389949913</v>
      </c>
      <c r="H18" s="49">
        <v>33.770000000000003</v>
      </c>
      <c r="I18" s="49">
        <v>0.63900000000000001</v>
      </c>
      <c r="J18" s="49">
        <v>25.56741752464405</v>
      </c>
      <c r="K18" s="49">
        <v>1497.9932047361699</v>
      </c>
      <c r="L18" s="48"/>
      <c r="M18" s="49">
        <v>53.022602495000008</v>
      </c>
      <c r="N18" s="49">
        <v>62.141699858999999</v>
      </c>
      <c r="O18" s="49">
        <v>411.95685080799967</v>
      </c>
      <c r="P18" s="49">
        <v>0.70568239200000005</v>
      </c>
      <c r="Q18" s="48"/>
      <c r="V18" s="48"/>
      <c r="W18" s="48"/>
      <c r="X18" s="48"/>
      <c r="Y18" s="48"/>
      <c r="Z18" s="48"/>
      <c r="AA18" s="48"/>
      <c r="AB18" s="48"/>
      <c r="AC18" s="48"/>
    </row>
    <row r="19" spans="1:29" x14ac:dyDescent="0.3">
      <c r="A19" s="7">
        <v>2014</v>
      </c>
      <c r="B19" s="49">
        <v>45.942</v>
      </c>
      <c r="C19" s="49">
        <v>466.02800000000002</v>
      </c>
      <c r="D19" s="49">
        <v>18.806999999999999</v>
      </c>
      <c r="E19" s="49">
        <v>7.102249185074899</v>
      </c>
      <c r="F19" s="49">
        <v>450.14100000000002</v>
      </c>
      <c r="G19" s="49">
        <v>173.83406060458739</v>
      </c>
      <c r="H19" s="49">
        <v>37.74</v>
      </c>
      <c r="I19" s="49">
        <v>0.67200000000000004</v>
      </c>
      <c r="J19" s="49">
        <v>26.707825513919591</v>
      </c>
      <c r="K19" s="49">
        <v>1444.1636772453976</v>
      </c>
      <c r="L19" s="48"/>
      <c r="M19" s="49">
        <v>45.191636967000001</v>
      </c>
      <c r="N19" s="49">
        <v>55.992912155999996</v>
      </c>
      <c r="O19" s="49">
        <v>430.25164273099989</v>
      </c>
      <c r="P19" s="49">
        <v>6.1994638609999999</v>
      </c>
      <c r="Q19" s="48"/>
      <c r="V19" s="48"/>
      <c r="W19" s="48"/>
      <c r="X19" s="48"/>
      <c r="Y19" s="48"/>
      <c r="Z19" s="48"/>
      <c r="AA19" s="48"/>
      <c r="AB19" s="48"/>
      <c r="AC19" s="48"/>
    </row>
    <row r="20" spans="1:29" x14ac:dyDescent="0.3">
      <c r="A20" s="7">
        <v>2015</v>
      </c>
      <c r="B20" s="49">
        <v>21.957000000000001</v>
      </c>
      <c r="C20" s="49">
        <v>485.97699999999998</v>
      </c>
      <c r="D20" s="49">
        <v>17.024000000000001</v>
      </c>
      <c r="E20" s="49">
        <v>6.832935217309891</v>
      </c>
      <c r="F20" s="49">
        <v>466.45699999999999</v>
      </c>
      <c r="G20" s="49">
        <v>164.09605289836</v>
      </c>
      <c r="H20" s="49">
        <v>37.061</v>
      </c>
      <c r="I20" s="49">
        <v>0.91300000000000003</v>
      </c>
      <c r="J20" s="49">
        <v>25.085179972329179</v>
      </c>
      <c r="K20" s="49">
        <v>1439.7857206619904</v>
      </c>
      <c r="L20" s="48"/>
      <c r="M20" s="49">
        <v>21.520220752</v>
      </c>
      <c r="N20" s="49">
        <v>62.537012470000008</v>
      </c>
      <c r="O20" s="49">
        <v>442.3245404999999</v>
      </c>
      <c r="P20" s="49">
        <v>5.5961117579999993</v>
      </c>
      <c r="Q20" s="48"/>
      <c r="V20" s="48"/>
      <c r="W20" s="48"/>
      <c r="X20" s="48"/>
      <c r="Y20" s="48"/>
      <c r="Z20" s="48"/>
      <c r="AA20" s="48"/>
      <c r="AB20" s="48"/>
      <c r="AC20" s="48"/>
    </row>
    <row r="21" spans="1:29" x14ac:dyDescent="0.3">
      <c r="A21" s="7">
        <v>2016</v>
      </c>
      <c r="B21" s="49">
        <v>15.631</v>
      </c>
      <c r="C21" s="49">
        <v>486.45299999999997</v>
      </c>
      <c r="D21" s="49">
        <v>5.9059999999999997</v>
      </c>
      <c r="E21" s="49">
        <v>6.8799399797046856</v>
      </c>
      <c r="F21" s="49">
        <v>434.791</v>
      </c>
      <c r="G21" s="49">
        <v>184.08501266706517</v>
      </c>
      <c r="H21" s="49">
        <v>36.375999999999998</v>
      </c>
      <c r="I21" s="49">
        <v>1.26</v>
      </c>
      <c r="J21" s="49">
        <v>23.721631253622753</v>
      </c>
      <c r="K21" s="49">
        <v>1411.7615884718946</v>
      </c>
      <c r="L21" s="48"/>
      <c r="M21" s="49">
        <v>15.425933396</v>
      </c>
      <c r="N21" s="49">
        <v>31.013086508000001</v>
      </c>
      <c r="O21" s="49">
        <v>457.61591328800012</v>
      </c>
      <c r="P21" s="49">
        <v>5.7355091140000001</v>
      </c>
      <c r="Q21" s="48"/>
      <c r="V21" s="48"/>
      <c r="W21" s="48"/>
      <c r="X21" s="48"/>
      <c r="Y21" s="48"/>
      <c r="Z21" s="48"/>
      <c r="AA21" s="48"/>
      <c r="AB21" s="48"/>
      <c r="AC21" s="48"/>
    </row>
    <row r="22" spans="1:29" x14ac:dyDescent="0.3">
      <c r="A22" s="7">
        <v>2017</v>
      </c>
      <c r="B22" s="49">
        <v>6.27</v>
      </c>
      <c r="C22" s="49">
        <v>397.38299999999998</v>
      </c>
      <c r="D22" s="49">
        <v>5.5529999999999999</v>
      </c>
      <c r="E22" s="49">
        <v>6.46020337931669</v>
      </c>
      <c r="F22" s="49">
        <v>441.029</v>
      </c>
      <c r="G22" s="49">
        <v>197.54320501550092</v>
      </c>
      <c r="H22" s="49">
        <v>38.104999999999997</v>
      </c>
      <c r="I22" s="49">
        <v>1.6419999999999999</v>
      </c>
      <c r="J22" s="49">
        <v>23.706907534937454</v>
      </c>
      <c r="K22" s="49">
        <v>1357.7603942813221</v>
      </c>
      <c r="L22" s="48"/>
      <c r="M22" s="49">
        <v>8.3280696970000001</v>
      </c>
      <c r="N22" s="49">
        <v>14.568743101000001</v>
      </c>
      <c r="O22" s="49">
        <v>385.09891884200005</v>
      </c>
      <c r="P22" s="49">
        <v>5.8814799639999995</v>
      </c>
      <c r="Q22" s="48"/>
      <c r="V22" s="48"/>
      <c r="W22" s="48"/>
      <c r="X22" s="48"/>
      <c r="Y22" s="48"/>
      <c r="Z22" s="48"/>
      <c r="AA22" s="48"/>
      <c r="AB22" s="48"/>
      <c r="AC22" s="48"/>
    </row>
    <row r="23" spans="1:29" x14ac:dyDescent="0.3">
      <c r="A23" s="7">
        <v>2018</v>
      </c>
      <c r="B23" s="49">
        <v>6.984</v>
      </c>
      <c r="C23" s="49">
        <v>428.06599999999997</v>
      </c>
      <c r="D23" s="49">
        <v>14.705</v>
      </c>
      <c r="E23" s="49">
        <v>6.5414244849763472</v>
      </c>
      <c r="F23" s="49">
        <v>448.71800000000002</v>
      </c>
      <c r="G23" s="49">
        <v>215.89080143626018</v>
      </c>
      <c r="H23" s="49">
        <v>36.401000000000003</v>
      </c>
      <c r="I23" s="49">
        <v>2.673</v>
      </c>
      <c r="J23" s="49">
        <v>22.014998753753936</v>
      </c>
      <c r="K23" s="49">
        <v>1416.2675590352101</v>
      </c>
      <c r="L23" s="48"/>
      <c r="M23" s="49">
        <v>6.8553883770000006</v>
      </c>
      <c r="N23" s="49">
        <v>23.850768093999996</v>
      </c>
      <c r="O23" s="49">
        <v>418.87261106200009</v>
      </c>
      <c r="P23" s="49">
        <v>5.9857760969999996</v>
      </c>
      <c r="Q23" s="48"/>
      <c r="V23" s="48"/>
      <c r="W23" s="48"/>
      <c r="X23" s="48"/>
      <c r="Y23" s="48"/>
      <c r="Z23" s="48"/>
      <c r="AA23" s="48"/>
      <c r="AB23" s="48"/>
      <c r="AC23" s="48"/>
    </row>
    <row r="24" spans="1:29" x14ac:dyDescent="0.3">
      <c r="A24" s="45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>
        <v>4.600076584</v>
      </c>
      <c r="N24" s="49">
        <v>13.675277055999999</v>
      </c>
      <c r="O24" s="49">
        <v>385.85188390200005</v>
      </c>
      <c r="P24" s="49">
        <v>5.1224233190000001</v>
      </c>
      <c r="Q24" s="48"/>
      <c r="V24" s="48"/>
      <c r="W24" s="48"/>
      <c r="X24" s="48"/>
      <c r="Y24" s="48"/>
      <c r="Z24" s="48"/>
      <c r="AA24" s="48"/>
      <c r="AB24" s="48"/>
      <c r="AC24" s="48"/>
    </row>
    <row r="25" spans="1:29" x14ac:dyDescent="0.3">
      <c r="M25" s="49">
        <v>1.699406159</v>
      </c>
      <c r="N25" s="49">
        <v>6.6766038180000002</v>
      </c>
      <c r="O25" s="49">
        <v>431.2064224290001</v>
      </c>
      <c r="P25" s="49">
        <v>5.6446347780000004</v>
      </c>
    </row>
    <row r="26" spans="1:29" x14ac:dyDescent="0.3">
      <c r="M26" s="49">
        <v>0</v>
      </c>
      <c r="N26" s="49">
        <v>4.4394585299999996</v>
      </c>
      <c r="O26" s="49">
        <v>462.89540992500008</v>
      </c>
      <c r="P26" s="49">
        <v>5.8173544530000001</v>
      </c>
    </row>
  </sheetData>
  <mergeCells count="1">
    <mergeCell ref="M3:P3"/>
  </mergeCells>
  <hyperlinks>
    <hyperlink ref="F1" r:id="rId1" xr:uid="{30BAF33E-2925-4B88-ACA1-03121753E56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Documentation</vt:lpstr>
      <vt:lpstr>CAMD Emissions Data</vt:lpstr>
      <vt:lpstr>Baseline</vt:lpstr>
      <vt:lpstr>Annual Benefits</vt:lpstr>
      <vt:lpstr>Benefits </vt:lpstr>
      <vt:lpstr>Table 6</vt:lpstr>
      <vt:lpstr>Table 7</vt:lpstr>
      <vt:lpstr>Plots</vt:lpstr>
      <vt:lpstr>NYSERDA TBtu</vt:lpstr>
      <vt:lpstr>NYSERA GWhr</vt:lpstr>
      <vt:lpstr>NY RGGI</vt:lpstr>
      <vt:lpstr>Cumulative Benefits</vt:lpstr>
      <vt:lpstr>Heat and Load</vt:lpstr>
      <vt:lpstr>'Table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Caiazza</dc:creator>
  <cp:lastModifiedBy>Roger Caiazza</cp:lastModifiedBy>
  <cp:lastPrinted>2022-12-19T17:03:44Z</cp:lastPrinted>
  <dcterms:created xsi:type="dcterms:W3CDTF">2022-12-13T17:37:25Z</dcterms:created>
  <dcterms:modified xsi:type="dcterms:W3CDTF">2023-01-03T19:14:03Z</dcterms:modified>
</cp:coreProperties>
</file>